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XCYA8tB/NCxA2CmVS0+Aiz1wCEADcatRO0mEtZc92iCQRymQIcGjB0TvOMU+1SlSXLRsKCqWA0tSRUBlS8iOA==" workbookSaltValue="TRDxJl5buzK0ojhoJvOJ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T32" i="20"/>
  <c r="AA32" i="20"/>
  <c r="AN32" i="20"/>
  <c r="AD32" i="20"/>
  <c r="AC32" i="20"/>
  <c r="AV32" i="20"/>
  <c r="O10" i="11"/>
  <c r="AP32" i="20"/>
  <c r="U17" i="11"/>
  <c r="W32" i="21"/>
  <c r="AQ32" i="20"/>
  <c r="AH32" i="20"/>
  <c r="X32" i="20"/>
  <c r="K17" i="12" l="1"/>
  <c r="I10" i="12"/>
  <c r="K16" i="12"/>
  <c r="K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Q16" i="11"/>
  <c r="BU33" i="17"/>
  <c r="R14" i="21"/>
  <c r="R31" i="2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<sst xmlns="http://schemas.openxmlformats.org/spreadsheetml/2006/main" count="2682" uniqueCount="1193">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</sst>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ykhMwP1MZdmDuwOcMr3WXpICRgNXYBDxmD5tSlWpnumhhNdTs7pdC4bLcd2bSFhMSKhxltDhd7QgajZLssy2w==" saltValue="7uJuRFh3FMxgbYHJbiBM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53</v>
      </c>
      <c r="F10" s="240">
        <f>IF(ISNUMBER(Datos!K10),Datos!K10," - ")</f>
        <v>43</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0.27777777777777779</v>
      </c>
      <c r="L10" s="1402">
        <f>IF(ISNUMBER(NºAsuntos!I10/NºAsuntos!G10),(NºAsuntos!I10/NºAsuntos!G10)*11," - ")</f>
        <v>11.767441860465116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8.7493087557603673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53</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457</v>
      </c>
      <c r="D17" s="239">
        <f>IF(ISNUMBER(IF(D_I="SI",Datos!I17,Datos!I17+Datos!AC17)),IF(D_I="SI",Datos!I17,Datos!I17+Datos!AC17)," - ")</f>
        <v>455</v>
      </c>
      <c r="E17" s="240">
        <f>IF(ISNUMBER(IF(D_I="SI",Datos!J17,Datos!J17+Datos!AD17)),IF(D_I="SI",Datos!J17,Datos!J17+Datos!AD17)," - ")</f>
        <v>2819</v>
      </c>
      <c r="F17" s="240">
        <f>IF(ISNUMBER(IF(D_I="SI",Datos!K17,Datos!K17+Datos!AE17)),IF(D_I="SI",Datos!K17,Datos!K17+Datos!AE17)," - ")</f>
        <v>2747</v>
      </c>
      <c r="G17" s="1390" t="str">
        <f>IF(Datos!E17&lt;&gt;"",Datos!E17,Datos!D17)</f>
        <v>04</v>
      </c>
      <c r="H17" s="241">
        <f>IF(ISNUMBER(IF(D_I="SI",Datos!L17,Datos!L17+Datos!AF17)),IF(D_I="SI",Datos!L17,Datos!L17+Datos!AF17)," - ")</f>
        <v>529</v>
      </c>
      <c r="I17" s="1400" t="str">
        <f>IF(ISNUMBER(Datos!AS17/Datos!BM17),Datos!AS17/Datos!BM17," - ")</f>
        <v xml:space="preserve"> - </v>
      </c>
      <c r="J17" s="1401">
        <f>IF(ISNUMBER(Datos!BY17/Datos!CN17),Datos!BY17/Datos!CN17," - ")</f>
        <v>0</v>
      </c>
      <c r="K17" s="244">
        <f t="shared" si="3"/>
        <v>0.1575492341356674</v>
      </c>
      <c r="L17" s="1402">
        <f>IF(ISNUMBER(NºAsuntos!I17/NºAsuntos!G17),(NºAsuntos!I17/NºAsuntos!G17)*11," - ")</f>
        <v>2.1183108846013834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224</v>
      </c>
      <c r="F18" s="240">
        <f>IF(ISNUMBER(IF(D_I="SI",Datos!K18,Datos!K18+Datos!AE18)),IF(D_I="SI",Datos!K18,Datos!K18+Datos!AE18)," - ")</f>
        <v>199</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1.7857142857142858</v>
      </c>
      <c r="L18" s="1402">
        <f>IF(ISNUMBER(NºAsuntos!I18/NºAsuntos!G18),(NºAsuntos!I18/NºAsuntos!G18)*11," - ")</f>
        <v>2.1557788944723617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471</v>
      </c>
      <c r="D23" s="1407">
        <f>SUBTOTAL(9,D16:D22)</f>
        <v>469</v>
      </c>
      <c r="E23" s="1408">
        <f>SUBTOTAL(9,E16:E22)</f>
        <v>3043</v>
      </c>
      <c r="F23" s="1408">
        <f>SUBTOTAL(9,F16:F22)</f>
        <v>2946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507</v>
      </c>
      <c r="D31" s="1435">
        <f>SUBTOTAL(9,D9:D30)</f>
        <v>505</v>
      </c>
      <c r="E31" s="1436">
        <f>SUBTOTAL(9,E9:E30)</f>
        <v>3096</v>
      </c>
      <c r="F31" s="1436">
        <f>SUBTOTAL(9,F9:F30)</f>
        <v>2989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HoVz543Jr8KIWpF2yXof5IhEl6kJBNiTrpChWkbjtJbdP8Hy4cj80A90ErZfTPkXS5FEmo1t09EHy1/tV7nLg==" saltValue="Te7itaREQIyFHbG8+EXD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D9lNN/FNdxqeRpGklRu2+edQ+Ec11ZBJXHs0YKMI+fFSizlGeFeE4B0p2sClKAkfE8rRAA0BMO+jFB8ev7Kjw==" saltValue="6OtlurpxnwB2LQr1cZKa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53</v>
      </c>
      <c r="K10" s="194">
        <v>43</v>
      </c>
      <c r="L10" s="194">
        <v>46</v>
      </c>
      <c r="M10" s="194">
        <v>30</v>
      </c>
      <c r="N10" s="194">
        <v>11</v>
      </c>
      <c r="O10" s="194">
        <v>2</v>
      </c>
      <c r="P10" s="194">
        <v>15</v>
      </c>
      <c r="Q10" s="194">
        <v>2</v>
      </c>
      <c r="R10" s="194">
        <v>34</v>
      </c>
      <c r="S10" s="194">
        <v>61</v>
      </c>
      <c r="T10" s="194">
        <v>46</v>
      </c>
      <c r="U10" s="194">
        <v>71</v>
      </c>
      <c r="V10" s="194">
        <v>36</v>
      </c>
      <c r="W10" s="194">
        <v>37</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61</v>
      </c>
      <c r="AZ10" s="139">
        <f t="shared" si="0"/>
        <v>46</v>
      </c>
      <c r="BA10" s="139">
        <f t="shared" si="0"/>
        <v>71</v>
      </c>
      <c r="BB10" s="139">
        <f t="shared" si="0"/>
        <v>36</v>
      </c>
      <c r="BC10" s="135">
        <f t="shared" si="0"/>
        <v>37</v>
      </c>
      <c r="BD10" s="136">
        <f>IF(ISNUMBER(BA10/AZ10),BA10/AZ10," - ")</f>
        <v>1.5434782608695652</v>
      </c>
      <c r="BE10" s="137">
        <f>IF(ISNUMBER(BB10/BA10),BB10/BA10, " - ")</f>
        <v>0.50704225352112675</v>
      </c>
      <c r="BF10" s="137">
        <f>IF(ISNUMBER(BC10/BA10),BC10/BA10, " - ")</f>
        <v>0.52112676056338025</v>
      </c>
      <c r="BG10" s="209">
        <f>IF(ISNUMBER((AY10+AZ10)/BA10),(AY10+AZ10)/BA10," - ")</f>
        <v>1.5070422535211268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1166</v>
      </c>
      <c r="J12" s="196">
        <v>2249</v>
      </c>
      <c r="K12" s="196">
        <v>1803</v>
      </c>
      <c r="L12" s="196">
        <v>1616</v>
      </c>
      <c r="M12" s="196">
        <v>638</v>
      </c>
      <c r="N12" s="196">
        <v>879</v>
      </c>
      <c r="O12" s="194">
        <v>875</v>
      </c>
      <c r="P12" s="196">
        <v>626</v>
      </c>
      <c r="Q12" s="196">
        <v>563</v>
      </c>
      <c r="R12" s="196">
        <v>1706</v>
      </c>
      <c r="S12" s="196">
        <v>1294</v>
      </c>
      <c r="T12" s="196">
        <v>1828</v>
      </c>
      <c r="U12" s="196">
        <v>1956</v>
      </c>
      <c r="V12" s="196">
        <v>1166</v>
      </c>
      <c r="W12" s="196">
        <v>518</v>
      </c>
      <c r="X12" s="202">
        <v>829</v>
      </c>
      <c r="Y12" s="204">
        <v>157</v>
      </c>
      <c r="Z12" s="194">
        <v>324</v>
      </c>
      <c r="AA12" s="194">
        <v>367</v>
      </c>
      <c r="AB12" s="194">
        <v>110</v>
      </c>
      <c r="AC12" s="196">
        <v>0</v>
      </c>
      <c r="AD12" s="196">
        <v>0</v>
      </c>
      <c r="AE12" s="196">
        <v>0</v>
      </c>
      <c r="AF12" s="202">
        <v>0</v>
      </c>
      <c r="AG12" s="215">
        <v>110</v>
      </c>
      <c r="AH12" s="196">
        <v>315</v>
      </c>
      <c r="AI12" s="196">
        <v>268</v>
      </c>
      <c r="AJ12" s="216">
        <v>157</v>
      </c>
      <c r="AK12" s="195">
        <v>0</v>
      </c>
      <c r="AL12" s="196">
        <v>0</v>
      </c>
      <c r="AM12" s="196">
        <v>0</v>
      </c>
      <c r="AN12" s="202">
        <v>0</v>
      </c>
      <c r="AO12" s="283">
        <v>3</v>
      </c>
      <c r="AP12" s="168">
        <v>3</v>
      </c>
      <c r="AQ12" s="168">
        <v>3</v>
      </c>
      <c r="AR12" s="167">
        <v>3</v>
      </c>
      <c r="AS12" s="381" t="s">
        <v>1075</v>
      </c>
      <c r="AT12" s="216"/>
      <c r="AU12" s="215"/>
      <c r="AV12" s="216"/>
      <c r="AW12" s="215"/>
      <c r="AX12" s="216"/>
      <c r="AY12" s="136">
        <f t="shared" si="1"/>
        <v>1404</v>
      </c>
      <c r="AZ12" s="137">
        <f t="shared" si="1"/>
        <v>2143</v>
      </c>
      <c r="BA12" s="137">
        <f t="shared" si="1"/>
        <v>2224</v>
      </c>
      <c r="BB12" s="137">
        <f t="shared" si="1"/>
        <v>1323</v>
      </c>
      <c r="BC12" s="135">
        <f>IF(ISNUMBER(X12),X12," - ")</f>
        <v>829</v>
      </c>
      <c r="BD12" s="136">
        <f t="shared" si="2"/>
        <v>1.0377974801679888</v>
      </c>
      <c r="BE12" s="137">
        <f t="shared" si="3"/>
        <v>0.59487410071942448</v>
      </c>
      <c r="BF12" s="137">
        <f t="shared" si="4"/>
        <v>0.37275179856115109</v>
      </c>
      <c r="BG12" s="209">
        <f t="shared" si="5"/>
        <v>1.5948741007194245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1202</v>
      </c>
      <c r="J14" s="197">
        <f t="shared" si="7"/>
        <v>2302</v>
      </c>
      <c r="K14" s="197">
        <f t="shared" si="7"/>
        <v>1846</v>
      </c>
      <c r="L14" s="197">
        <f t="shared" si="7"/>
        <v>1662</v>
      </c>
      <c r="M14" s="197">
        <f t="shared" si="7"/>
        <v>668</v>
      </c>
      <c r="N14" s="197">
        <f t="shared" si="7"/>
        <v>890</v>
      </c>
      <c r="O14" s="197">
        <f t="shared" si="7"/>
        <v>877</v>
      </c>
      <c r="P14" s="197">
        <f t="shared" si="7"/>
        <v>641</v>
      </c>
      <c r="Q14" s="197">
        <f t="shared" si="7"/>
        <v>565</v>
      </c>
      <c r="R14" s="197">
        <f t="shared" si="7"/>
        <v>1740</v>
      </c>
      <c r="S14" s="197">
        <f t="shared" si="7"/>
        <v>1355</v>
      </c>
      <c r="T14" s="197">
        <f t="shared" si="7"/>
        <v>1874</v>
      </c>
      <c r="U14" s="197">
        <f t="shared" si="7"/>
        <v>2027</v>
      </c>
      <c r="V14" s="197">
        <f t="shared" si="7"/>
        <v>1202</v>
      </c>
      <c r="W14" s="197">
        <f t="shared" si="7"/>
        <v>555</v>
      </c>
      <c r="X14" s="197">
        <f t="shared" si="7"/>
        <v>845</v>
      </c>
      <c r="Y14" s="197">
        <f t="shared" si="7"/>
        <v>157</v>
      </c>
      <c r="Z14" s="197">
        <f t="shared" si="7"/>
        <v>324</v>
      </c>
      <c r="AA14" s="197">
        <f t="shared" si="7"/>
        <v>367</v>
      </c>
      <c r="AB14" s="197">
        <f t="shared" si="7"/>
        <v>110</v>
      </c>
      <c r="AC14" s="197">
        <f t="shared" si="7"/>
        <v>0</v>
      </c>
      <c r="AD14" s="197">
        <f t="shared" si="7"/>
        <v>0</v>
      </c>
      <c r="AE14" s="197">
        <f t="shared" si="7"/>
        <v>0</v>
      </c>
      <c r="AF14" s="197">
        <f>SUBTOTAL(9,AF9:AF13)</f>
        <v>0</v>
      </c>
      <c r="AG14" s="197">
        <f t="shared" ref="AG14:AT14" si="8">SUBTOTAL(9,AG8:AG13)</f>
        <v>110</v>
      </c>
      <c r="AH14" s="197">
        <f t="shared" si="8"/>
        <v>315</v>
      </c>
      <c r="AI14" s="197">
        <f t="shared" si="8"/>
        <v>268</v>
      </c>
      <c r="AJ14" s="197">
        <f t="shared" si="8"/>
        <v>157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1465</v>
      </c>
      <c r="AZ14" s="197">
        <f>SUBTOTAL(9,AZ8:AZ13)</f>
        <v>2189</v>
      </c>
      <c r="BA14" s="197">
        <f>SUBTOTAL(9,BA8:BA13)</f>
        <v>2295</v>
      </c>
      <c r="BB14" s="197">
        <f>SUBTOTAL(9,BB8:BB13)</f>
        <v>1359</v>
      </c>
      <c r="BC14" s="197">
        <f>SUBTOTAL(9,BC8:BC13)</f>
        <v>866</v>
      </c>
      <c r="BD14" s="219">
        <f>IF(ISNUMBER(BA14/AZ14),BA14/AZ14," - ")</f>
        <v>1.0484239378711742</v>
      </c>
      <c r="BE14" s="220">
        <f>IF(ISNUMBER(BB14/BA14),BB14/BA14, " - ")</f>
        <v>0.59215686274509804</v>
      </c>
      <c r="BF14" s="220">
        <f>IF(ISNUMBER(BC14/BA14),BC14/BA14, " - ")</f>
        <v>0.3773420479302832</v>
      </c>
      <c r="BG14" s="221">
        <f>IF(ISNUMBER((AY14+AZ14)/BA14),(AY14+AZ14)/BA14," - ")</f>
        <v>1.5921568627450979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455</v>
      </c>
      <c r="J17" s="196">
        <v>2819</v>
      </c>
      <c r="K17" s="196">
        <v>2747</v>
      </c>
      <c r="L17" s="196">
        <v>529</v>
      </c>
      <c r="M17" s="196">
        <v>347</v>
      </c>
      <c r="N17" s="196">
        <v>2055</v>
      </c>
      <c r="O17" s="194">
        <v>22</v>
      </c>
      <c r="P17" s="196">
        <v>97</v>
      </c>
      <c r="Q17" s="196">
        <v>73</v>
      </c>
      <c r="R17" s="196">
        <v>127</v>
      </c>
      <c r="S17" s="196">
        <v>547</v>
      </c>
      <c r="T17" s="196">
        <v>2549</v>
      </c>
      <c r="U17" s="196">
        <v>2678</v>
      </c>
      <c r="V17" s="196">
        <v>455</v>
      </c>
      <c r="W17" s="196">
        <v>270</v>
      </c>
      <c r="X17" s="202">
        <v>2055</v>
      </c>
      <c r="Y17" s="215">
        <v>0</v>
      </c>
      <c r="Z17" s="196">
        <v>0</v>
      </c>
      <c r="AA17" s="196">
        <v>0</v>
      </c>
      <c r="AB17" s="196">
        <v>0</v>
      </c>
      <c r="AC17" s="196">
        <v>0</v>
      </c>
      <c r="AD17" s="196">
        <v>19</v>
      </c>
      <c r="AE17" s="196">
        <v>19</v>
      </c>
      <c r="AF17" s="202">
        <v>0</v>
      </c>
      <c r="AG17" s="215">
        <v>0</v>
      </c>
      <c r="AH17" s="196">
        <v>0</v>
      </c>
      <c r="AI17" s="196">
        <v>0</v>
      </c>
      <c r="AJ17" s="216">
        <v>0</v>
      </c>
      <c r="AK17" s="195">
        <v>0</v>
      </c>
      <c r="AL17" s="196">
        <v>29</v>
      </c>
      <c r="AM17" s="196">
        <v>29</v>
      </c>
      <c r="AN17" s="202">
        <v>0</v>
      </c>
      <c r="AO17" s="283">
        <v>3</v>
      </c>
      <c r="AP17" s="168">
        <v>3</v>
      </c>
      <c r="AQ17" s="168">
        <v>3</v>
      </c>
      <c r="AR17" s="168">
        <v>3</v>
      </c>
      <c r="AS17" s="381" t="s">
        <v>650</v>
      </c>
      <c r="AT17" s="216"/>
      <c r="AU17" s="215"/>
      <c r="AV17" s="216"/>
      <c r="AW17" s="215"/>
      <c r="AX17" s="216"/>
      <c r="AY17" s="136">
        <f t="shared" si="10"/>
        <v>547</v>
      </c>
      <c r="AZ17" s="137">
        <f t="shared" si="10"/>
        <v>2549</v>
      </c>
      <c r="BA17" s="137">
        <f t="shared" si="10"/>
        <v>2678</v>
      </c>
      <c r="BB17" s="137">
        <f t="shared" si="10"/>
        <v>455</v>
      </c>
      <c r="BC17" s="135">
        <f>IF(ISNUMBER(W17),W17," - ")</f>
        <v>270</v>
      </c>
      <c r="BD17" s="136">
        <f t="shared" ref="BD17:BD22" si="12">IF(ISNUMBER(BA17/AZ17),BA17/AZ17," - ")</f>
        <v>1.0506080816006278</v>
      </c>
      <c r="BE17" s="137">
        <f t="shared" ref="BE17:BE22" si="13">IF(ISNUMBER(BB17/BA17),BB17/BA17, " - ")</f>
        <v>0.16990291262135923</v>
      </c>
      <c r="BF17" s="137">
        <f t="shared" ref="BF17:BF22" si="14">IF(ISNUMBER(BC17/BA17),BC17/BA17, " - ")</f>
        <v>0.10082150858849888</v>
      </c>
      <c r="BG17" s="209">
        <f t="shared" si="11"/>
        <v>1.1560866318147871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224</v>
      </c>
      <c r="K18" s="196">
        <v>199</v>
      </c>
      <c r="L18" s="196">
        <v>39</v>
      </c>
      <c r="M18" s="196">
        <v>44</v>
      </c>
      <c r="N18" s="196">
        <v>175</v>
      </c>
      <c r="O18" s="196">
        <v>0</v>
      </c>
      <c r="P18" s="196">
        <v>0</v>
      </c>
      <c r="Q18" s="196">
        <v>0</v>
      </c>
      <c r="R18" s="196">
        <v>0</v>
      </c>
      <c r="S18" s="196">
        <v>30</v>
      </c>
      <c r="T18" s="196">
        <v>128</v>
      </c>
      <c r="U18" s="196">
        <v>144</v>
      </c>
      <c r="V18" s="196">
        <v>14</v>
      </c>
      <c r="W18" s="196">
        <v>32</v>
      </c>
      <c r="X18" s="202">
        <v>100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128</v>
      </c>
      <c r="BA18" s="139">
        <f t="shared" si="15"/>
        <v>144</v>
      </c>
      <c r="BB18" s="139">
        <f t="shared" si="15"/>
        <v>14</v>
      </c>
      <c r="BC18" s="135">
        <f>IF(ISNUMBER(W18),W18," - ")</f>
        <v>32</v>
      </c>
      <c r="BD18" s="136">
        <f>IF(ISNUMBER(BA18/AZ18),BA18/AZ18," - ")</f>
        <v>1.125</v>
      </c>
      <c r="BE18" s="137">
        <f>IF(ISNUMBER(BB18/BA18),BB18/BA18, " - ")</f>
        <v>9.7222222222222224E-2</v>
      </c>
      <c r="BF18" s="137">
        <f>IF(ISNUMBER(BC18/BA18),BC18/BA18, " - ")</f>
        <v>0.22222222222222221</v>
      </c>
      <c r="BG18" s="209">
        <f>IF(ISNUMBER((AY18+AZ18)/BA18),(AY18+AZ18)/BA18," - ")</f>
        <v>1.0972222222222223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469</v>
      </c>
      <c r="J23" s="197">
        <f t="shared" si="21"/>
        <v>3043</v>
      </c>
      <c r="K23" s="197">
        <f t="shared" si="21"/>
        <v>2946</v>
      </c>
      <c r="L23" s="197">
        <f t="shared" si="21"/>
        <v>568</v>
      </c>
      <c r="M23" s="197">
        <f t="shared" si="21"/>
        <v>391</v>
      </c>
      <c r="N23" s="197">
        <f t="shared" si="21"/>
        <v>2230</v>
      </c>
      <c r="O23" s="197">
        <f t="shared" si="21"/>
        <v>22</v>
      </c>
      <c r="P23" s="197">
        <f t="shared" si="21"/>
        <v>97</v>
      </c>
      <c r="Q23" s="197">
        <f t="shared" si="21"/>
        <v>73</v>
      </c>
      <c r="R23" s="197">
        <f t="shared" si="21"/>
        <v>127</v>
      </c>
      <c r="S23" s="197">
        <f t="shared" si="21"/>
        <v>577</v>
      </c>
      <c r="T23" s="197">
        <f t="shared" si="21"/>
        <v>2677</v>
      </c>
      <c r="U23" s="197">
        <f t="shared" si="21"/>
        <v>2822</v>
      </c>
      <c r="V23" s="197">
        <f t="shared" si="21"/>
        <v>469</v>
      </c>
      <c r="W23" s="197">
        <f t="shared" si="21"/>
        <v>302</v>
      </c>
      <c r="X23" s="197">
        <f t="shared" si="21"/>
        <v>2155</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0</v>
      </c>
      <c r="AL23" s="197">
        <f t="shared" si="21"/>
        <v>29</v>
      </c>
      <c r="AM23" s="197">
        <f t="shared" si="21"/>
        <v>29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577</v>
      </c>
      <c r="AZ23" s="197">
        <f>SUBTOTAL(9,AZ15:AZ22)</f>
        <v>2677</v>
      </c>
      <c r="BA23" s="197">
        <f>SUBTOTAL(9,BA15:BA22)</f>
        <v>2822</v>
      </c>
      <c r="BB23" s="197">
        <f>SUBTOTAL(9,BB15:BB22)</f>
        <v>469</v>
      </c>
      <c r="BC23" s="197">
        <f>SUBTOTAL(9,BC15:BC22)</f>
        <v>302</v>
      </c>
      <c r="BD23" s="219">
        <f>IF(ISNUMBER(BA23/AZ23),BA23/AZ23," - ")</f>
        <v>1.0541651101979828</v>
      </c>
      <c r="BE23" s="220">
        <f>IF(ISNUMBER(BB23/BA23),BB23/BA23, " - ")</f>
        <v>0.16619418851878101</v>
      </c>
      <c r="BF23" s="220">
        <f>IF(ISNUMBER(BC23/BA23),BC23/BA23, " - ")</f>
        <v>0.10701630049610206</v>
      </c>
      <c r="BG23" s="221">
        <f>IF(ISNUMBER((AY23+AZ23)/BA23),(AY23+AZ23)/BA23," - ")</f>
        <v>1.1530829199149539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1671</v>
      </c>
      <c r="J31" s="144">
        <f t="shared" si="36"/>
        <v>5345</v>
      </c>
      <c r="K31" s="144">
        <f t="shared" si="36"/>
        <v>4792</v>
      </c>
      <c r="L31" s="144">
        <f t="shared" si="36"/>
        <v>2230</v>
      </c>
      <c r="M31" s="144">
        <f t="shared" si="36"/>
        <v>1059</v>
      </c>
      <c r="N31" s="144">
        <f t="shared" si="36"/>
        <v>3120</v>
      </c>
      <c r="O31" s="144">
        <f t="shared" si="36"/>
        <v>899</v>
      </c>
      <c r="P31" s="144">
        <f t="shared" si="36"/>
        <v>738</v>
      </c>
      <c r="Q31" s="144">
        <f t="shared" si="36"/>
        <v>638</v>
      </c>
      <c r="R31" s="144">
        <f t="shared" si="36"/>
        <v>1867</v>
      </c>
      <c r="S31" s="144">
        <f t="shared" si="36"/>
        <v>1932</v>
      </c>
      <c r="T31" s="144">
        <f t="shared" si="36"/>
        <v>4551</v>
      </c>
      <c r="U31" s="144">
        <f t="shared" si="36"/>
        <v>4849</v>
      </c>
      <c r="V31" s="144">
        <f t="shared" si="36"/>
        <v>1671</v>
      </c>
      <c r="W31" s="144">
        <f t="shared" si="36"/>
        <v>857</v>
      </c>
      <c r="X31" s="144">
        <f t="shared" si="36"/>
        <v>3000</v>
      </c>
      <c r="Y31" s="144">
        <f t="shared" si="36"/>
        <v>157</v>
      </c>
      <c r="Z31" s="144">
        <f t="shared" si="36"/>
        <v>324</v>
      </c>
      <c r="AA31" s="144">
        <f t="shared" si="36"/>
        <v>367</v>
      </c>
      <c r="AB31" s="144">
        <f t="shared" si="36"/>
        <v>110</v>
      </c>
      <c r="AC31" s="144">
        <f t="shared" si="36"/>
        <v>0</v>
      </c>
      <c r="AD31" s="144">
        <f t="shared" si="36"/>
        <v>19</v>
      </c>
      <c r="AE31" s="144">
        <f t="shared" si="36"/>
        <v>19</v>
      </c>
      <c r="AF31" s="144">
        <f t="shared" si="36"/>
        <v>0</v>
      </c>
      <c r="AG31" s="144">
        <f t="shared" si="36"/>
        <v>110</v>
      </c>
      <c r="AH31" s="144">
        <f t="shared" si="36"/>
        <v>315</v>
      </c>
      <c r="AI31" s="144">
        <f t="shared" si="36"/>
        <v>268</v>
      </c>
      <c r="AJ31" s="144">
        <f t="shared" si="36"/>
        <v>157</v>
      </c>
      <c r="AK31" s="144">
        <f t="shared" si="36"/>
        <v>0</v>
      </c>
      <c r="AL31" s="144">
        <f t="shared" si="36"/>
        <v>29</v>
      </c>
      <c r="AM31" s="144">
        <f t="shared" si="36"/>
        <v>29</v>
      </c>
      <c r="AN31" s="224">
        <f t="shared" si="36"/>
        <v>0</v>
      </c>
      <c r="AO31" s="225">
        <v>4</v>
      </c>
      <c r="AP31" s="225">
        <v>3</v>
      </c>
      <c r="AQ31" s="225">
        <v>3</v>
      </c>
      <c r="AR31" s="225">
        <v>3</v>
      </c>
      <c r="AS31" s="166">
        <f t="shared" si="36"/>
        <v>0</v>
      </c>
      <c r="AT31" s="166">
        <f t="shared" si="36"/>
        <v>0</v>
      </c>
      <c r="AU31" s="225"/>
      <c r="AV31" s="226"/>
      <c r="AW31" s="225"/>
      <c r="AX31" s="226"/>
      <c r="AY31" s="143">
        <f>SUBTOTAL(9,AY9:AY30)</f>
        <v>2042</v>
      </c>
      <c r="AZ31" s="144">
        <f>SUBTOTAL(9,AZ9:AZ30)</f>
        <v>4866</v>
      </c>
      <c r="BA31" s="144">
        <f>SUBTOTAL(9,BA9:BA30)</f>
        <v>5117</v>
      </c>
      <c r="BB31" s="144">
        <f>SUBTOTAL(9,BB9:BB30)</f>
        <v>1828</v>
      </c>
      <c r="BC31" s="145">
        <f>SUBTOTAL(9,BC9:BC30)</f>
        <v>1168</v>
      </c>
      <c r="BD31" s="227">
        <f>IF(ISNUMBER(BA31/AZ31),BA31/AZ31," - ")</f>
        <v>1.0515824085491163</v>
      </c>
      <c r="BE31" s="224">
        <f>IF(ISNUMBER(BB31/BA31),BB31/BA31, " - ")</f>
        <v>0.35724057064686338</v>
      </c>
      <c r="BF31" s="224">
        <f>IF(ISNUMBER(BC31/BA31),BC31/BA31, " - ")</f>
        <v>0.22825874535860857</v>
      </c>
      <c r="BG31" s="145">
        <f>IF(ISNUMBER((AY31+AZ31)/BA31),(AY31+AZ31)/BA31," - ")</f>
        <v>1.3500097713504007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HfRqYkuPSLGyPylA+TMzzjBm9x9i5ojOggFDqGGqZZVLUuT0hLQePHlPaYnB7Xd1FK9V6UgAQHTQfZT40X+w==" saltValue="mFRoJauyOurMI9Ggpf+Q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Bo1y7Ti9BdAJDRJfVZ4otVQ1RS2c6E1kDb6wrDJgFDosbmoE4xEj2f0o9AIEoAzzA/xke5kCges/4W1cedUbQ==" saltValue="Fg8d9+nLWqhZxYC1v8vC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ANDUJAR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2</v>
      </c>
      <c r="AD10" s="549"/>
      <c r="AE10" s="563"/>
      <c r="AF10" s="551">
        <f>IF(ISNUMBER(Datos!L10),Datos!L10,"-")</f>
        <v>46</v>
      </c>
      <c r="AG10" s="549"/>
      <c r="AH10" s="549"/>
      <c r="AI10" s="549"/>
      <c r="AJ10" s="549"/>
      <c r="AK10" s="549"/>
      <c r="AL10" s="550"/>
      <c r="AM10" s="766">
        <f>IF(ISNUMBER(Datos!R10),Datos!R10," - ")</f>
        <v>34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11</v>
      </c>
      <c r="BE10" s="693" t="str">
        <f>IF(ISNUMBER(Datos!BW10),Datos!BW10," - ")</f>
        <v xml:space="preserve"> - </v>
      </c>
      <c r="BF10" s="762" t="str">
        <f>IF(ISNUMBER(Datos!BX10),Datos!BX10," - ")</f>
        <v xml:space="preserve"> - </v>
      </c>
      <c r="BG10" s="763">
        <f>IF(ISNUMBER(Datos!K10/Datos!J10),Datos!K10/Datos!J10," - ")</f>
        <v>0.81132075471698117</v>
      </c>
      <c r="BH10" s="764">
        <f>IF(ISNUMBER(((Datos!L10/Datos!K10)*11)/factor_trimestre),((Datos!L10/Datos!K10)*11)/factor_trimestre," - ")</f>
        <v>11.767441860465116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0.61904761904761907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324</v>
      </c>
      <c r="O12" s="549"/>
      <c r="P12" s="549"/>
      <c r="Q12" s="547">
        <f>IF(ISNUMBER(Datos!P12),Datos!P12,0)</f>
        <v>626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1706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638</v>
      </c>
      <c r="BD12" s="693">
        <f>IF(ISNUMBER(Datos!N12),Datos!N12," - ")</f>
        <v>879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0.84337349397590367</v>
      </c>
      <c r="BH12" s="764">
        <f>IF(ISNUMBER(((IF(J_V="SI",Datos!L12/Datos!K12,(Datos!L12+Datos!AB12)/(Datos!K12+Datos!AA12)))*11)/factor_trimestre),((IF(J_V="SI",Datos!L12/Datos!K12,(Datos!L12+Datos!AB12)/(Datos!K12+Datos!AA12)))*11)/factor_trimestre," - ")</f>
        <v>8.7493087557603673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3.8344491783323192E-2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324</v>
      </c>
      <c r="O14" s="1199">
        <f t="shared" si="1"/>
        <v>0</v>
      </c>
      <c r="P14" s="1199">
        <f t="shared" si="1"/>
        <v>0</v>
      </c>
      <c r="Q14" s="1198">
        <f t="shared" si="1"/>
        <v>641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565</v>
      </c>
      <c r="AD14" s="1198">
        <f t="shared" si="2"/>
        <v>0</v>
      </c>
      <c r="AE14" s="1198">
        <f t="shared" si="2"/>
        <v>0</v>
      </c>
      <c r="AF14" s="1198">
        <f t="shared" si="2"/>
        <v>46</v>
      </c>
      <c r="AG14" s="1198">
        <f t="shared" si="2"/>
        <v>0</v>
      </c>
      <c r="AH14" s="1198">
        <f t="shared" si="2"/>
        <v>110</v>
      </c>
      <c r="AI14" s="1198">
        <f t="shared" si="2"/>
        <v>0</v>
      </c>
      <c r="AJ14" s="1198">
        <f t="shared" si="2"/>
        <v>0</v>
      </c>
      <c r="AK14" s="1198">
        <f t="shared" si="2"/>
        <v>0</v>
      </c>
      <c r="AL14" s="1198">
        <f t="shared" si="2"/>
        <v>0</v>
      </c>
      <c r="AM14" s="1198">
        <f t="shared" si="2"/>
        <v>1740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668</v>
      </c>
      <c r="BD14" s="1198">
        <f t="shared" si="2"/>
        <v>890</v>
      </c>
      <c r="BE14" s="1198">
        <f t="shared" si="2"/>
        <v>0</v>
      </c>
      <c r="BF14" s="1198">
        <f t="shared" si="2"/>
        <v>0</v>
      </c>
      <c r="BG14" s="1198">
        <f>IF(ISNUMBER(Datos!K14/Datos!J14),Datos!K14/Datos!J14," - ")</f>
        <v>0.80191138140747176</v>
      </c>
      <c r="BH14" s="1202">
        <f>IF(ISNUMBER(((Datos!L14/Datos!K14)*11)/factor_trimestre),((Datos!L14/Datos!K14)*11)/factor_trimestre," - ")</f>
        <v>9.9035752979414955</v>
      </c>
      <c r="BI14" s="1198">
        <f>IF(ISNUMBER('Resol  Asuntos'!D14/NºAsuntos!G14),'Resol  Asuntos'!D14/NºAsuntos!G14," - ")</f>
        <v>0.30185268865793041</v>
      </c>
      <c r="BJ14" s="1198" t="str">
        <f>IF(ISNUMBER(Datos!CI14/Datos!CJ14),Datos!CI14/Datos!CJ14," - ")</f>
        <v xml:space="preserve"> - </v>
      </c>
      <c r="BK14" s="1198">
        <f>SUBTOTAL(9,BK8:BK13)</f>
        <v>0</v>
      </c>
      <c r="BL14" s="1198">
        <f>IF(ISNUMBER((I14-AB14+L14)/(F14)),(I14-AB14+L14)/(F14)," - ")</f>
        <v>-1.1944444444444444</v>
      </c>
      <c r="BM14" s="1203">
        <f>SUBTOTAL(9,BM9:BM13)</f>
        <v>0.65739211083094229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457</v>
      </c>
      <c r="G17" s="743">
        <f>IF(ISNUMBER(IF(D_I="SI",Datos!I17,Datos!I17+Datos!AC17)),IF(D_I="SI",Datos!I17,Datos!I17+Datos!AC17)," - ")</f>
        <v>455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2747</v>
      </c>
      <c r="AC17" s="240">
        <f>IF(ISNUMBER(Datos!Q17),Datos!Q17," - ")</f>
        <v>73</v>
      </c>
      <c r="AD17" s="374"/>
      <c r="AE17" s="562"/>
      <c r="AF17" s="741">
        <f>IF(ISNUMBER(IF(D_I="SI",Datos!L17,Datos!L17+Datos!AF17)),IF(D_I="SI",Datos!L17,Datos!L17+Datos!AF17)," - ")</f>
        <v>529</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347</v>
      </c>
      <c r="BD17" s="243">
        <f>IF(ISNUMBER(Datos!N17),Datos!N17," - ")</f>
        <v>2055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0.97445902802412199</v>
      </c>
      <c r="BH17" s="764">
        <f>IF(ISNUMBER(((IF(D_I="SI",Datos!L17/Datos!K17,(Datos!L17+Datos!AF17)/(Datos!K17+Datos!AE17)))*11)/factor_trimestre),((IF(D_I="SI",Datos!L17/Datos!K17,(Datos!L17+Datos!AF17)/(Datos!K17+Datos!AE17)))*11)/factor_trimestre," - ")</f>
        <v>2.1183108846013834</v>
      </c>
      <c r="BI17" s="266">
        <f>IF(ISNUMBER('Resol  Asuntos'!D17/NºAsuntos!G17),'Resol  Asuntos'!D17/NºAsuntos!G17," - ")</f>
        <v>0.12631962140516928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199</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0.8883928571428571</v>
      </c>
      <c r="BH18" s="764">
        <f>IF(ISNUMBER(((IF(D_I="SI",Datos!L18/Datos!K18,(Datos!L18+Datos!AF18)/(Datos!K18+Datos!AE18)))*11)/factor_trimestre),((IF(D_I="SI",Datos!L18/Datos!K18,(Datos!L18+Datos!AF18)/(Datos!K18+Datos!AE18)))*11)/factor_trimestre," - ")</f>
        <v>2.1557788944723617</v>
      </c>
      <c r="BI18" s="763">
        <f>IF(ISNUMBER('Resol  Asuntos'!D18/NºAsuntos!G18),'Resol  Asuntos'!D18/NºAsuntos!G18," - ")</f>
        <v>0.22110552763819097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457</v>
      </c>
      <c r="G23" s="1197">
        <f>SUBTOTAL(9,G16:G22)</f>
        <v>469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2946</v>
      </c>
      <c r="AC23" s="1198">
        <f t="shared" si="5"/>
        <v>73</v>
      </c>
      <c r="AD23" s="1198">
        <f t="shared" si="5"/>
        <v>0</v>
      </c>
      <c r="AE23" s="1198">
        <f t="shared" si="5"/>
        <v>0</v>
      </c>
      <c r="AF23" s="1198">
        <f t="shared" si="5"/>
        <v>568</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391</v>
      </c>
      <c r="BD23" s="1198">
        <f t="shared" si="5"/>
        <v>2230</v>
      </c>
      <c r="BE23" s="1198">
        <f t="shared" si="5"/>
        <v>0</v>
      </c>
      <c r="BF23" s="1198">
        <f t="shared" si="5"/>
        <v>0</v>
      </c>
      <c r="BG23" s="1198">
        <f>IF(ISNUMBER(Datos!K23/Datos!J23),Datos!K23/Datos!J23," - ")</f>
        <v>0.96812356227407159</v>
      </c>
      <c r="BH23" s="1202">
        <f>IF(ISNUMBER(((Datos!L23/Datos!K23)*11)/factor_trimestre),((Datos!L23/Datos!K23)*11)/factor_trimestre," - ")</f>
        <v>2.1208418194161576</v>
      </c>
      <c r="BI23" s="1198">
        <f>SUBTOTAL(9,BI16:BI22)</f>
        <v>0.34742514904336025</v>
      </c>
      <c r="BJ23" s="1198">
        <f>SUBTOTAL(9,BJ16:BJ22)</f>
        <v>0</v>
      </c>
      <c r="BK23" s="1198">
        <f>SUBTOTAL(9,BK16:BK22)</f>
        <v>0</v>
      </c>
      <c r="BL23" s="1198">
        <f>IF(ISNUMBER((I23-AB23+L23)/(F23)),(I23-AB23+L23)/(F23)," - ")</f>
        <v>-6.4463894967177247</v>
      </c>
      <c r="BM23" s="1205">
        <f>IF(ISNUMBER((Datos!P23-Datos!Q23)/(Datos!R23-Datos!P23+Datos!Q23)),(Datos!P23-Datos!Q23)/(Datos!R23-Datos!P23+Datos!Q23)," - ")</f>
        <v>0.23300970873786409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493</v>
      </c>
      <c r="G31" s="1117">
        <f t="shared" si="18"/>
        <v>505</v>
      </c>
      <c r="H31" s="1119">
        <f t="shared" si="18"/>
        <v>0</v>
      </c>
      <c r="I31" s="1117">
        <f t="shared" si="18"/>
        <v>0</v>
      </c>
      <c r="J31" s="1119">
        <f t="shared" si="18"/>
        <v>0</v>
      </c>
      <c r="K31" s="1119">
        <f t="shared" si="18"/>
        <v>0</v>
      </c>
      <c r="L31" s="1180">
        <f t="shared" si="18"/>
        <v>0</v>
      </c>
      <c r="M31" s="1180">
        <f t="shared" si="18"/>
        <v>0</v>
      </c>
      <c r="N31" s="1180">
        <f t="shared" si="18"/>
        <v>324</v>
      </c>
      <c r="O31" s="1180">
        <f t="shared" si="18"/>
        <v>0</v>
      </c>
      <c r="P31" s="1180">
        <f t="shared" si="18"/>
        <v>0</v>
      </c>
      <c r="Q31" s="1119">
        <f t="shared" si="18"/>
        <v>738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2989</v>
      </c>
      <c r="AC31" s="1118">
        <f t="shared" si="19"/>
        <v>638</v>
      </c>
      <c r="AD31" s="1118">
        <f t="shared" si="19"/>
        <v>0</v>
      </c>
      <c r="AE31" s="1118">
        <f t="shared" si="19"/>
        <v>0</v>
      </c>
      <c r="AF31" s="1125">
        <f t="shared" si="19"/>
        <v>614</v>
      </c>
      <c r="AG31" s="1125">
        <f t="shared" si="19"/>
        <v>0</v>
      </c>
      <c r="AH31" s="1125">
        <f t="shared" si="19"/>
        <v>110</v>
      </c>
      <c r="AI31" s="1125">
        <f t="shared" si="19"/>
        <v>0</v>
      </c>
      <c r="AJ31" s="1118">
        <f t="shared" si="19"/>
        <v>0</v>
      </c>
      <c r="AK31" s="1125">
        <f t="shared" si="19"/>
        <v>0</v>
      </c>
      <c r="AL31" s="1125">
        <f t="shared" si="19"/>
        <v>0</v>
      </c>
      <c r="AM31" s="1125">
        <f t="shared" si="19"/>
        <v>1867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1059</v>
      </c>
      <c r="BD31" s="1117">
        <f t="shared" si="19"/>
        <v>3120</v>
      </c>
      <c r="BE31" s="1117">
        <f t="shared" si="19"/>
        <v>0</v>
      </c>
      <c r="BF31" s="1127">
        <f t="shared" si="19"/>
        <v>0</v>
      </c>
      <c r="BG31" s="1223">
        <f>IF(ISNUMBER(Datos!K31/Datos!J31),Datos!K31/Datos!J31," - ")</f>
        <v>0.89653882132834428</v>
      </c>
      <c r="BH31" s="1223">
        <f>IF(ISNUMBER(((Datos!L31/Datos!K31)*11)/factor_trimestre),((Datos!L31/Datos!K31)*11)/factor_trimestre," - ")</f>
        <v>5.118948247078464</v>
      </c>
      <c r="BI31" s="1103">
        <f>IF(ISNUMBER(Datos!J31/Datos!I31),Datos!J31/Datos!I31," - ")</f>
        <v>3.1986834230999404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-6.0628803245436105</v>
      </c>
      <c r="BM31" s="1188">
        <f>IF(ISNUMBER((Datos!P31-Datos!Q31+R31)/(Datos!R31-Datos!P31+Datos!Q31-R31)),(Datos!P31-Datos!Q31+R31)/(Datos!R31-Datos!P31+Datos!Q31-R31)," - ")</f>
        <v>5.6593095642331635E-2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227.26959028138074</v>
      </c>
      <c r="G33" s="674">
        <f>IF(ISNUMBER(STDEV(G8:G30)),STDEV(G8:G30),"-")</f>
        <v>217.57965153456968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1364.0021994117164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285.01967350643412</v>
      </c>
      <c r="BD33" s="673"/>
      <c r="BE33" s="673">
        <f>IF(ISNUMBER(STDEV(BE8:BE30)),STDEV(BE8:BE30),"-")</f>
        <v>0</v>
      </c>
      <c r="BF33" s="678">
        <f>IF(ISNUMBER(STDEV(BF8:BF30)),STDEV(BF8:BF30),"-")</f>
        <v>0</v>
      </c>
      <c r="BG33" s="1052">
        <f>IF(ISNUMBER(STDEV(BG8:BG30)),STDEV(BG8:BG30),"-")</f>
        <v>7.6033286782269088E-2</v>
      </c>
      <c r="BH33" s="1058">
        <f>IF(ISNUMBER(STDEV(BH8:BH30)),STDEV(BH8:BH30),"-")</f>
        <v>4.4909380914570569</v>
      </c>
      <c r="BI33" s="273">
        <f>IF(ISNUMBER(STDEV(BI8:BI30)),STDEV(BI8:BI30),"-")</f>
        <v>9.7141426102193507E-2</v>
      </c>
      <c r="BJ33" s="244" t="str">
        <f>IF(ISNUMBER(BL33/BM33),BL33/BM33," - ")</f>
        <v xml:space="preserve"> - </v>
      </c>
      <c r="BK33" s="709"/>
      <c r="BL33" s="681">
        <f>IF(ISNUMBER(STDEV(BL8:BL30)),STDEV(BL8:BL30),"-")</f>
        <v>3.7136859608815733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DLi5zSSJiP7MIU/zVxYGcXvd9M4Van3uNOn19qgDVkwF45CdgiNOHZ/g1Aj6uED0yxa5RwQARHsZAmNQ3biXQ==" saltValue="DmQ2KqPULppN4lQvU6JN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ANDUJAR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2</v>
      </c>
      <c r="AA10" s="551">
        <f>IF(ISNUMBER(Datos!L10),Datos!L10,"-")</f>
        <v>46</v>
      </c>
      <c r="AB10" s="549"/>
      <c r="AC10" s="549"/>
      <c r="AD10" s="563"/>
      <c r="AE10" s="563">
        <f>IF(ISNUMBER(Datos!R10),Datos!R10," - ")</f>
        <v>34</v>
      </c>
      <c r="AF10" s="693" t="str">
        <f>IF(ISNUMBER(Datos!BV10),Datos!BV10," - ")</f>
        <v xml:space="preserve"> - </v>
      </c>
      <c r="AG10" s="552" t="str">
        <f>IF(ISNUMBER(Datos!DV10),Datos!DV10," - ")</f>
        <v xml:space="preserve"> - </v>
      </c>
      <c r="AH10" s="553"/>
      <c r="AI10" s="554"/>
      <c r="AJ10" s="552">
        <f>IF(ISNUMBER(Datos!M10),Datos!M10," - ")</f>
        <v>30</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11.767441860465116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0.61904761904761907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563</v>
      </c>
      <c r="AA12" s="551" t="str">
        <f>IF(ISNUMBER(IF(J_V="SI",Datos!L12,Datos!L12+Datos!AB12)-IF(Monitorios="SI",Datos!CD12,0)),
                          IF(J_V="SI",Datos!L12,Datos!L12+Datos!AB12)-IF(Monitorios="SI",Datos!CD12,0),
                          " - ")</f>
        <v xml:space="preserve"> - </v>
      </c>
      <c r="AB12" s="549"/>
      <c r="AC12" s="549"/>
      <c r="AD12" s="563"/>
      <c r="AE12" s="563">
        <f>IF(ISNUMBER(Datos!R12),Datos!R12," - ")</f>
        <v>1706</v>
      </c>
      <c r="AF12" s="693" t="str">
        <f>IF(ISNUMBER(Datos!BV12),Datos!BV12," - ")</f>
        <v xml:space="preserve"> - </v>
      </c>
      <c r="AG12" s="552" t="str">
        <f>IF(ISNUMBER(Datos!DV12),Datos!DV12," - ")</f>
        <v xml:space="preserve"> - </v>
      </c>
      <c r="AH12" s="553"/>
      <c r="AI12" s="554"/>
      <c r="AJ12" s="552">
        <f>IF(ISNUMBER(Datos!M12),Datos!M12," - ")</f>
        <v>638</v>
      </c>
      <c r="AK12" s="693">
        <f>IF(ISNUMBER(Datos!N12),Datos!N12," - ")</f>
        <v>879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8.7493087557603673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3.8344491783323192E-2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641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565</v>
      </c>
      <c r="AA14" s="1199">
        <f t="shared" si="3"/>
        <v>46</v>
      </c>
      <c r="AB14" s="1199">
        <f t="shared" si="3"/>
        <v>0</v>
      </c>
      <c r="AC14" s="1199">
        <f t="shared" si="3"/>
        <v>0</v>
      </c>
      <c r="AD14" s="1199">
        <f t="shared" si="3"/>
        <v>0</v>
      </c>
      <c r="AE14" s="1199">
        <f t="shared" si="3"/>
        <v>1740</v>
      </c>
      <c r="AF14" s="1211">
        <f t="shared" si="3"/>
        <v>0</v>
      </c>
      <c r="AG14" s="1211">
        <f t="shared" si="3"/>
        <v>0</v>
      </c>
      <c r="AH14" s="1211">
        <f t="shared" si="3"/>
        <v>0</v>
      </c>
      <c r="AI14" s="1211">
        <f t="shared" si="3"/>
        <v>0</v>
      </c>
      <c r="AJ14" s="1211">
        <f t="shared" si="3"/>
        <v>668</v>
      </c>
      <c r="AK14" s="1211">
        <f t="shared" si="3"/>
        <v>890</v>
      </c>
      <c r="AL14" s="1211">
        <f t="shared" si="3"/>
        <v>0</v>
      </c>
      <c r="AM14" s="1211">
        <f t="shared" si="3"/>
        <v>0</v>
      </c>
      <c r="AN14" s="1211">
        <f t="shared" si="3"/>
        <v>0</v>
      </c>
      <c r="AO14" s="1203">
        <f>IF(ISNUMBER(((NºAsuntos!I14/NºAsuntos!G14)*11)/factor_trimestre),((NºAsuntos!I14/NºAsuntos!G14)*11)/factor_trimestre," - ")</f>
        <v>8.8079530049706278</v>
      </c>
      <c r="AP14" s="1213" t="str">
        <f>IF(ISNUMBER(Datos!CI14/Datos!CJ14),Datos!CI14/Datos!CJ14," - ")</f>
        <v xml:space="preserve"> - </v>
      </c>
      <c r="AQ14" s="1236">
        <f t="shared" ref="AQ14:AV14" si="4">SUBTOTAL(9,AQ9:AQ13)</f>
        <v>0</v>
      </c>
      <c r="AR14" s="1236">
        <f t="shared" si="4"/>
        <v>0.65739211083094229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457</v>
      </c>
      <c r="G17" s="552">
        <f>IF(ISNUMBER(IF(D_I="SI",Datos!I17,Datos!I17+Datos!AC17)),IF(D_I="SI",Datos!I17,Datos!I17+Datos!AC17)," - ")</f>
        <v>455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2747</v>
      </c>
      <c r="Z17" s="805">
        <f>IF(ISNUMBER(Datos!Q17),Datos!Q17," - ")</f>
        <v>73</v>
      </c>
      <c r="AA17" s="551">
        <f>IF(ISNUMBER(IF(D_I="SI",Datos!L17,Datos!L17+Datos!AF17)),IF(D_I="SI",Datos!L17,Datos!L17+Datos!AF17)," - ")</f>
        <v>529</v>
      </c>
      <c r="AB17" s="549"/>
      <c r="AC17" s="549"/>
      <c r="AD17" s="563"/>
      <c r="AE17" s="563">
        <f>IF(ISNUMBER(Datos!R17),Datos!R17," - ")</f>
        <v>127</v>
      </c>
      <c r="AF17" s="693" t="str">
        <f>IF(ISNUMBER(Datos!BV17),Datos!BV17," - ")</f>
        <v xml:space="preserve"> - </v>
      </c>
      <c r="AG17" s="552"/>
      <c r="AH17" s="553"/>
      <c r="AI17" s="554"/>
      <c r="AJ17" s="552">
        <f>IF(ISNUMBER(Datos!M17),Datos!M17," - ")</f>
        <v>347</v>
      </c>
      <c r="AK17" s="693">
        <f>IF(ISNUMBER(Datos!N17),Datos!N17," - ")</f>
        <v>2055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2.1183108846013834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199</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44</v>
      </c>
      <c r="AK18" s="693">
        <f>IF(ISNUMBER(Datos!N18),Datos!N18," - ")</f>
        <v>175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2.1557788944723617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457</v>
      </c>
      <c r="G23" s="1197">
        <f>SUBTOTAL(9,G16:G22)</f>
        <v>469</v>
      </c>
      <c r="H23" s="1240">
        <f>SUBTOTAL(9,H16:H22)</f>
        <v>0</v>
      </c>
      <c r="I23" s="1217">
        <f>SUBTOTAL(9,I16:I22)</f>
        <v>0</v>
      </c>
      <c r="J23" s="1164">
        <f>SUBTOTAL(9,J15:J22)</f>
        <v>0</v>
      </c>
      <c r="K23" s="1240">
        <f t="shared" ref="K23:S23" si="5">SUBTOTAL(9,K16:K22)</f>
        <v>0</v>
      </c>
      <c r="L23" s="1240">
        <f t="shared" si="5"/>
        <v>0</v>
      </c>
      <c r="M23" s="1240">
        <f t="shared" si="5"/>
        <v>0</v>
      </c>
      <c r="N23" s="1240">
        <f t="shared" si="5"/>
        <v>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2946</v>
      </c>
      <c r="Z23" s="1240">
        <f t="shared" si="6"/>
        <v>73</v>
      </c>
      <c r="AA23" s="1240">
        <f t="shared" si="6"/>
        <v>568</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391</v>
      </c>
      <c r="AK23" s="1240">
        <f t="shared" si="6"/>
        <v>2230</v>
      </c>
      <c r="AL23" s="1240">
        <f t="shared" si="6"/>
        <v>0</v>
      </c>
      <c r="AM23" s="1240">
        <f t="shared" si="6"/>
        <v>0</v>
      </c>
      <c r="AN23" s="1240">
        <f t="shared" si="6"/>
        <v>0</v>
      </c>
      <c r="AO23" s="1242">
        <f>IF(ISNUMBER(((NºAsuntos!I23/NºAsuntos!G23)*11)/factor_trimestre),((NºAsuntos!I23/NºAsuntos!G23)*11)/factor_trimestre," - ")</f>
        <v>2.1208418194161576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493</v>
      </c>
      <c r="G31" s="1117">
        <f t="shared" si="12"/>
        <v>505</v>
      </c>
      <c r="H31" s="1118">
        <f t="shared" si="12"/>
        <v>0</v>
      </c>
      <c r="I31" s="1117">
        <f t="shared" si="12"/>
        <v>0</v>
      </c>
      <c r="J31" s="1119">
        <f t="shared" si="12"/>
        <v>0</v>
      </c>
      <c r="K31" s="1117">
        <f t="shared" si="12"/>
        <v>0</v>
      </c>
      <c r="L31" s="1120">
        <f t="shared" si="12"/>
        <v>0</v>
      </c>
      <c r="M31" s="1117">
        <f t="shared" si="12"/>
        <v>0</v>
      </c>
      <c r="N31" s="1118">
        <f t="shared" si="12"/>
        <v>738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2989</v>
      </c>
      <c r="Z31" s="1124">
        <f t="shared" si="13"/>
        <v>638</v>
      </c>
      <c r="AA31" s="1125">
        <f t="shared" si="13"/>
        <v>614</v>
      </c>
      <c r="AB31" s="1125">
        <f t="shared" si="13"/>
        <v>0</v>
      </c>
      <c r="AC31" s="1125">
        <f t="shared" si="13"/>
        <v>0</v>
      </c>
      <c r="AD31" s="1126">
        <f t="shared" si="13"/>
        <v>0</v>
      </c>
      <c r="AE31" s="1126">
        <f t="shared" si="13"/>
        <v>1867</v>
      </c>
      <c r="AF31" s="1127">
        <f t="shared" si="13"/>
        <v>0</v>
      </c>
      <c r="AG31" s="1128">
        <f t="shared" si="13"/>
        <v>0</v>
      </c>
      <c r="AH31" s="1129">
        <f t="shared" si="13"/>
        <v>0</v>
      </c>
      <c r="AI31" s="1127">
        <f t="shared" si="13"/>
        <v>0</v>
      </c>
      <c r="AJ31" s="1117">
        <f t="shared" si="13"/>
        <v>1059</v>
      </c>
      <c r="AK31" s="1117">
        <f t="shared" si="13"/>
        <v>3120</v>
      </c>
      <c r="AL31" s="1117">
        <f t="shared" si="13"/>
        <v>0</v>
      </c>
      <c r="AM31" s="1130">
        <f t="shared" si="13"/>
        <v>0</v>
      </c>
      <c r="AN31" s="1120">
        <f>IF(ISNUMBER(Datos!K31/Datos!J31),Datos!K31/Datos!J31," - ")</f>
        <v>0.89653882132834428</v>
      </c>
      <c r="AO31" s="1120">
        <f>IF(ISNUMBER(FIND("06",Criterios!A8,1)),(IF(ISNUMBER(((Datos!R31/Datos!Q31)*11)/factor_trimestre),((Datos!R31/Datos!Q31)*11)/factor_trimestre," - ")),(IF(ISNUMBER(((Datos!L31/Datos!K31)*11)/factor_trimestre),((Datos!L31/Datos!K31)*11)/factor_trimestre," - ")))</f>
        <v>5.118948247078464</v>
      </c>
      <c r="AP31" s="1131" t="str">
        <f>IF(ISNUMBER(Datos!CI31/Datos!CJ31),Datos!CI31/Datos!CJ31," - ")</f>
        <v xml:space="preserve"> - </v>
      </c>
      <c r="AQ31" s="1131">
        <f>IF(OR(ISNUMBER(FIND("01",Criterios!A8,1)),ISNUMBER(FIND("02",Criterios!A8,1)),ISNUMBER(FIND("03",Criterios!A8,1)),ISNUMBER(FIND("04",Criterios!A8,1))),(J31-Y31+K31)/(F31-K31),(I31-Y31+K31)/(F31-K31))</f>
        <v>-6.0628803245436105</v>
      </c>
      <c r="AR31" s="1131">
        <f>IF(ISNUMBER((Datos!P31-Datos!Q31+O31)/(Datos!R31-Datos!P31+Datos!Q31-O31)),(Datos!P31-Datos!Q31+O31)/(Datos!R31-Datos!P31+Datos!Q31-O31)," - ")</f>
        <v>5.6593095642331635E-2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227.26959028138074</v>
      </c>
      <c r="G33" s="674">
        <f>IF(ISNUMBER(STDEV(G8:G30)),STDEV(G8:G30),"-")</f>
        <v>217.57965153456968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285.01967350643412</v>
      </c>
      <c r="AK33" s="276"/>
      <c r="AL33" s="276">
        <f>IF(ISNUMBER(STDEV(AL8:AL30)),STDEV(AL8:AL30),"-")</f>
        <v>0</v>
      </c>
      <c r="AM33" s="278">
        <f>IF(ISNUMBER(STDEV(AM8:AM30)),STDEV(AM8:AM30),"-")</f>
        <v>0</v>
      </c>
      <c r="AN33" s="660">
        <f>IF(ISNUMBER(STDEV(AN8:AN30)),STDEV(AN8:AN30),"-")</f>
        <v>0</v>
      </c>
      <c r="AO33" s="661">
        <f>IF(ISNUMBER(STDEV(AO8:AO30)),STDEV(AO8:AO30),"-")</f>
        <v>4.3263610130973023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Q3ZrXsyiGhxmjcb/y3/VlIF8SBGoxFeymMWReXMaJuVrlECd/jOG5TpINc7rUvzZi1H91ppM/h0nA2MoM3jLQ==" saltValue="7HFKF2iTF9nd2bvooeiO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NjpfCi+kJkiTJ3y3bmDm8prrhNEeevf0rsp92h6d9XX+fku3S3nXnUd6fdjU+HvizcwhcR0XSwNWnEaTiHACQ==" saltValue="vdZTKV+Y89ZH4/QOPBOT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0u36vO3KritqbE1RuOJflUMnJ60dvDe2HdWY22r1ahB/cyLPTEGGUHALM6ZQCiS79yjcuuWrfjM4nX1Su4cgA==" saltValue="U0tbHfLqeF5IHEAy8fzm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ANDUJAR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0.30185268865793041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0.21344208306941426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YmiRuFWDwShlI9kaKoB9Q7VJ3jGQlb4YiMxYmP54Z0KkHiFJRp5/IZU06DmAOF3Jf/ktsmRNNiy4SOz0vqJ9w==" saltValue="sIjoc5WpFB9rRQKS6DAe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AtS9PDCduPknMacRsg8tiJpfv5XxGBHKUKfhFawzA/TL2M/UQuzfSSjnAJsPw+xYxUxrOOwMEsFltoHjphKpQ==" saltValue="sDu8IQCEJ7ecbEJBzL4T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ANDUJAR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53</v>
      </c>
      <c r="F10" s="452">
        <f>IF(ISNUMBER(E10/B10),E10/B10," - ")</f>
        <v>53</v>
      </c>
      <c r="G10" s="451">
        <f>IF(ISNUMBER(Datos!K10),Datos!K10," - ")</f>
        <v>43</v>
      </c>
      <c r="H10" s="452">
        <f>IF(ISNUMBER(G10/B10),G10/B10," - ")</f>
        <v>43</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1323</v>
      </c>
      <c r="D12" s="452">
        <f>IF(ISNUMBER(C12/Datos!BH12),C12/Datos!BH12," - ")</f>
        <v>441</v>
      </c>
      <c r="E12" s="451">
        <f>IF(ISNUMBER(IF(J_V="SI",Datos!J12,Datos!J12+Datos!Z12)),IF(J_V="SI",Datos!J12,Datos!J12+Datos!Z12)," - ")</f>
        <v>2573</v>
      </c>
      <c r="F12" s="452">
        <f>IF(ISNUMBER(E12/B12),E12/B12," - ")</f>
        <v>857.66666666666663</v>
      </c>
      <c r="G12" s="451">
        <f>IF(ISNUMBER(IF(J_V="SI",Datos!K12,Datos!K12+Datos!AA12)),IF(J_V="SI",Datos!K12,Datos!K12+Datos!AA12)," - ")</f>
        <v>2170</v>
      </c>
      <c r="H12" s="452">
        <f>IF(ISNUMBER(G12/B12),G12/B12," - ")</f>
        <v>723.33333333333337</v>
      </c>
      <c r="I12" s="451">
        <f>IF(ISNUMBER(IF(J_V="SI",Datos!L12,Datos!L12+Datos!AB12)),IF(J_V="SI",Datos!L12,Datos!L12+Datos!AB12)," - ")</f>
        <v>1726</v>
      </c>
      <c r="J12" s="452">
        <f>IF(ISNUMBER(I12/B12),I12/B12," - ")</f>
        <v>575.33333333333337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1359</v>
      </c>
      <c r="D14" s="1147" t="str">
        <f>IF(ISNUMBER(C14/Datos!BI14),C14/Datos!BI14," - ")</f>
        <v xml:space="preserve"> - </v>
      </c>
      <c r="E14" s="1146">
        <f>SUBTOTAL(9,E8:E13)</f>
        <v>2626</v>
      </c>
      <c r="F14" s="1147">
        <f>IF(ISNUMBER(E14/B14),E14/B14," - ")</f>
        <v>875.33333333333337</v>
      </c>
      <c r="G14" s="1146">
        <f>SUBTOTAL(9,G8:G13)</f>
        <v>2213</v>
      </c>
      <c r="H14" s="1147">
        <f>IF(ISNUMBER(G14/B14),G14/B14," - ")</f>
        <v>737.66666666666663</v>
      </c>
      <c r="I14" s="1146">
        <f>SUBTOTAL(9,I8:I13)</f>
        <v>1772</v>
      </c>
      <c r="J14" s="1147">
        <f>IF(ISNUMBER(I14/B14),I14/B14," - ")</f>
        <v>590.66666666666663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455</v>
      </c>
      <c r="D17" s="452">
        <f>IF(ISNUMBER(C17/Datos!BH17),C17/Datos!BH17," - ")</f>
        <v>151.66666666666666</v>
      </c>
      <c r="E17" s="451">
        <f>IF(ISNUMBER(IF(D_I="SI",Datos!J17,Datos!J17+Datos!AD17)),IF(D_I="SI",Datos!J17,Datos!J17+Datos!AD17)," - ")</f>
        <v>2819</v>
      </c>
      <c r="F17" s="452">
        <f>IF(ISNUMBER(E17/B17),E17/B17," - ")</f>
        <v>939.66666666666663</v>
      </c>
      <c r="G17" s="451">
        <f>IF(ISNUMBER(IF(D_I="SI",Datos!K17,Datos!K17+Datos!AE17)),IF(D_I="SI",Datos!K17,Datos!K17+Datos!AE17)," - ")</f>
        <v>2747</v>
      </c>
      <c r="H17" s="452">
        <f>IF(ISNUMBER(G17/B17),G17/B17," - ")</f>
        <v>915.66666666666663</v>
      </c>
      <c r="I17" s="451">
        <f>IF(ISNUMBER(IF(D_I="SI",Datos!L17,Datos!L17+Datos!AF17)),IF(D_I="SI",Datos!L17,Datos!L17+Datos!AF17)," - ")</f>
        <v>529</v>
      </c>
      <c r="J17" s="452">
        <f>IF(ISNUMBER(I17/B17),I17/B17," - ")</f>
        <v>176.33333333333334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224</v>
      </c>
      <c r="F18" s="452">
        <f>IF(ISNUMBER(E18/B18),E18/B18," - ")</f>
        <v>224</v>
      </c>
      <c r="G18" s="451">
        <f>IF(ISNUMBER(IF(D_I="SI",Datos!K18,Datos!K18+Datos!AE18)),IF(D_I="SI",Datos!K18,Datos!K18+Datos!AE18)," - ")</f>
        <v>199</v>
      </c>
      <c r="H18" s="452">
        <f>IF(ISNUMBER(G18/B18),G18/B18," - ")</f>
        <v>199</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469</v>
      </c>
      <c r="D23" s="1147" t="str">
        <f>IF(ISNUMBER(C23/Datos!BI23),C23/Datos!BI23," - ")</f>
        <v xml:space="preserve"> - </v>
      </c>
      <c r="E23" s="1146">
        <f>SUBTOTAL(9,E15:E22)</f>
        <v>3043</v>
      </c>
      <c r="F23" s="1147">
        <f>IF(ISNUMBER(E23/B23),E23/B23," - ")</f>
        <v>1014.3333333333334</v>
      </c>
      <c r="G23" s="1146">
        <f>SUBTOTAL(9,G15:G22)</f>
        <v>2946</v>
      </c>
      <c r="H23" s="1147">
        <f>IF(ISNUMBER(G23/B23),G23/B23," - ")</f>
        <v>982</v>
      </c>
      <c r="I23" s="1146">
        <f>SUBTOTAL(9,I15:I22)</f>
        <v>568</v>
      </c>
      <c r="J23" s="1147">
        <f>IF(ISNUMBER(I23/B23),I23/B23," - ")</f>
        <v>189.33333333333334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1828</v>
      </c>
      <c r="D31" s="1085" t="str">
        <f>IF(ISNUMBER(C31/Datos!BI31),C31/Datos!BI31," - ")</f>
        <v xml:space="preserve"> - </v>
      </c>
      <c r="E31" s="1084">
        <f>SUBTOTAL(9,E9:E30)</f>
        <v>5669</v>
      </c>
      <c r="F31" s="1085">
        <f>IF(ISNUMBER(E31/B31),E31/B31," - ")</f>
        <v>1889.6666666666667</v>
      </c>
      <c r="G31" s="1084">
        <f>SUBTOTAL(9,G9:G30)</f>
        <v>5159</v>
      </c>
      <c r="H31" s="1085">
        <f>IF(ISNUMBER(G31/B31),G31/B31," - ")</f>
        <v>1719.6666666666667</v>
      </c>
      <c r="I31" s="1084">
        <f>SUBTOTAL(9,I9:I30)</f>
        <v>2340</v>
      </c>
      <c r="J31" s="1085">
        <f>IF(ISNUMBER(I31/B31),I31/B31," - ")</f>
        <v>780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H8FAN0Y6hR4Sg8uXbqsKwwvPJ5B+v5WoWm/oNYJQa577wwMndZIyV7GbiKjfB0eYnyjx6x0F3Zc40A4sGJJiw==" saltValue="OwsK2dj0ZDkCJCsjnqao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ANDUJAR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11.767441860465116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638</v>
      </c>
      <c r="AM12" s="914">
        <f>IF(ISNUMBER(Datos!N12+DatosP!N17),Datos!N12+DatosP!N17," - ")</f>
        <v>879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8.7493087557603673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3.8344491783323192E-2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641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563</v>
      </c>
      <c r="AE14" s="1257">
        <f t="shared" si="1"/>
        <v>0</v>
      </c>
      <c r="AF14" s="1257">
        <f t="shared" si="1"/>
        <v>46</v>
      </c>
      <c r="AG14" s="1257">
        <f t="shared" si="1"/>
        <v>0</v>
      </c>
      <c r="AH14" s="1257">
        <f t="shared" si="1"/>
        <v>1706</v>
      </c>
      <c r="AI14" s="1257">
        <f t="shared" si="1"/>
        <v>0</v>
      </c>
      <c r="AJ14" s="1257">
        <f t="shared" si="1"/>
        <v>0</v>
      </c>
      <c r="AK14" s="1257">
        <f t="shared" si="1"/>
        <v>0</v>
      </c>
      <c r="AL14" s="1257">
        <f t="shared" si="1"/>
        <v>668</v>
      </c>
      <c r="AM14" s="1257">
        <f t="shared" si="1"/>
        <v>890</v>
      </c>
      <c r="AN14" s="1257">
        <f t="shared" si="1"/>
        <v>0</v>
      </c>
      <c r="AO14" s="1257">
        <f t="shared" si="1"/>
        <v>0</v>
      </c>
      <c r="AP14" s="1262">
        <f>IF(ISNUMBER(((Datos!L14/Datos!K14)*11)/factor_trimestre),((Datos!L14/Datos!K14)*11)/factor_trimestre," - ")</f>
        <v>9.9035752979414955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-1.1944444444444444</v>
      </c>
      <c r="AU14" s="1257" t="str">
        <f>IF(ISNUMBER((DatosP!#REF!-DatosP!#REF!+DatosP!#REF!)/(DatosP!#REF!+DatosP!#REF!-DatosP!#REF!-DatosP!#REF!)),(DatosP!#REF!-DatosP!#REF!+DatosP!#REF!)/(DatosP!#REF!+DatosP!#REF!-DatosP!#REF!-DatosP!#REF!)," - ")</f>
        <v xml:space="preserve"> - </v>
      </c>
      <c r="AV14" s="1263">
        <f>SUBTOTAL(9,AV9:AV13)</f>
        <v>3.8344491783323192E-2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2.1208418194161576</v>
      </c>
      <c r="AQ23" s="1262">
        <f>IF(ISNUMBER(((Datos!M23/Datos!L23)*11)/factor_trimestre),((Datos!M23/Datos!L23)*11)/factor_trimestre," - ")</f>
        <v>7.5721830985915499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0.23300970873786409</v>
      </c>
      <c r="AW23" s="1265">
        <f>IF(ISNUMBER((Datos!Q23-Datos!R23)/(Datos!S23-Datos!Q23+Datos!R23)),(Datos!Q23-Datos!R23)/(Datos!S23-Datos!Q23+Datos!R23)," - ")</f>
        <v>-8.5578446909667191E-2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641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563</v>
      </c>
      <c r="AE31" s="1284">
        <f t="shared" si="9"/>
        <v>0</v>
      </c>
      <c r="AF31" s="1285">
        <f t="shared" si="9"/>
        <v>46</v>
      </c>
      <c r="AG31" s="1285">
        <f t="shared" si="9"/>
        <v>0</v>
      </c>
      <c r="AH31" s="1285">
        <f t="shared" si="9"/>
        <v>1706</v>
      </c>
      <c r="AI31" s="1285">
        <f t="shared" si="9"/>
        <v>0</v>
      </c>
      <c r="AJ31" s="1286">
        <f t="shared" si="9"/>
        <v>0</v>
      </c>
      <c r="AK31" s="1286">
        <f t="shared" si="9"/>
        <v>0</v>
      </c>
      <c r="AL31" s="1278">
        <f t="shared" si="9"/>
        <v>668</v>
      </c>
      <c r="AM31" s="1278">
        <f t="shared" si="9"/>
        <v>890</v>
      </c>
      <c r="AN31" s="1278">
        <f t="shared" si="9"/>
        <v>0</v>
      </c>
      <c r="AO31" s="1278">
        <f t="shared" si="9"/>
        <v>0</v>
      </c>
      <c r="AP31" s="1278">
        <f>IF(ISNUMBER(((Datos!L31/Datos!K31)*11)/factor_trimestre),((Datos!L31/Datos!K31)*11)/factor_trimestre," - ")</f>
        <v>5.118948247078464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-1.1944444444444444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5.6593095642331635E-2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333.67209452794617</v>
      </c>
      <c r="AM33" s="1006"/>
      <c r="AN33" s="1006">
        <f>IF(ISNUMBER(STDEV(AN8:AN30)),STDEV(AN8:AN30),"-")</f>
        <v>0</v>
      </c>
      <c r="AO33" s="1012">
        <f>IF(ISNUMBER(STDEV(AO8:AO30)),STDEV(AO8:AO30),"-")</f>
        <v>0</v>
      </c>
      <c r="AP33" s="1065">
        <f>IF(ISNUMBER(STDEV(AP8:AP30)),STDEV(AP8:AP30),"-")</f>
        <v>4.1980140535629085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Ily5UPN0iFd6niwR3ZgVuFMK4fZOUEVRt71Gx6+w0lK2FXgz8v7Msjy+x5Fh6gbko1iBXvueXxEooqZJNToEQ==" saltValue="K+NqNnX2l4qcb0aLhjRw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ANDUJAR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pI6NdAljHf9e0WxGDJWpUXg5q43soevYoVDUVOfKToMhatOZPDFjVB6fQ64trk8AOyjyxoBeXc1e8zWEmLYUQ==" saltValue="9el2dHJAUffv460x+Gai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ANDUJAR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30</v>
      </c>
      <c r="E10" s="452">
        <f>IF(ISNUMBER(D10/B10),D10/B10," - ")</f>
        <v>30</v>
      </c>
      <c r="F10" s="451">
        <f>IF(ISNUMBER(Datos!N10),Datos!N10," - ")</f>
        <v>11</v>
      </c>
      <c r="G10" s="452">
        <f>IF(ISNUMBER(F10/B10),F10/B10," - ")</f>
        <v>11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638</v>
      </c>
      <c r="E12" s="452">
        <f t="shared" si="0"/>
        <v>212.66666666666666</v>
      </c>
      <c r="F12" s="451">
        <f>IF(ISNUMBER(Datos!N12),Datos!N12," - ")</f>
        <v>879</v>
      </c>
      <c r="G12" s="452">
        <f t="shared" si="1"/>
        <v>293</v>
      </c>
      <c r="H12" s="451">
        <f>IF(ISNUMBER(Datos!O12),Datos!O12," - ")</f>
        <v>875</v>
      </c>
      <c r="I12" s="452">
        <f t="shared" si="2"/>
        <v>291.66666666666669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668</v>
      </c>
      <c r="E14" s="1147">
        <f t="shared" si="0"/>
        <v>167</v>
      </c>
      <c r="F14" s="1146">
        <f>SUBTOTAL(9,F9:F13)</f>
        <v>890</v>
      </c>
      <c r="G14" s="1147">
        <f t="shared" si="1"/>
        <v>222.5</v>
      </c>
      <c r="H14" s="1146">
        <f>SUBTOTAL(9,H9:H13)</f>
        <v>877</v>
      </c>
      <c r="I14" s="1147">
        <f>IF(ISNUMBER(H14/B14),H14/B14," - ")</f>
        <v>219.25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347</v>
      </c>
      <c r="E17" s="452">
        <f t="shared" si="3"/>
        <v>115.66666666666667</v>
      </c>
      <c r="F17" s="451">
        <f>IF(ISNUMBER(Datos!N17),Datos!N17," - ")</f>
        <v>2055</v>
      </c>
      <c r="G17" s="452">
        <f t="shared" si="4"/>
        <v>685</v>
      </c>
      <c r="H17" s="451">
        <f>IF(ISNUMBER(Datos!O17),Datos!O17," - ")</f>
        <v>22</v>
      </c>
      <c r="I17" s="452">
        <f t="shared" si="5"/>
        <v>7.333333333333333</v>
      </c>
    </row>
    <row r="18" spans="1:9">
      <c r="A18" s="450" t="str">
        <f>Datos!A18</f>
        <v>Jdos. Violencia contra la mujer</v>
      </c>
      <c r="B18" s="480">
        <f>Datos!AO18</f>
        <v>1</v>
      </c>
      <c r="C18" s="481">
        <f>Datos!AQ18</f>
        <v>0</v>
      </c>
      <c r="D18" s="451">
        <f>IF(ISNUMBER(Datos!M18),Datos!M18," - ")</f>
        <v>44</v>
      </c>
      <c r="E18" s="452">
        <f>IF(ISNUMBER(D18/B18),D18/B18," - ")</f>
        <v>44</v>
      </c>
      <c r="F18" s="451">
        <f>IF(ISNUMBER(Datos!N18),Datos!N18," - ")</f>
        <v>175</v>
      </c>
      <c r="G18" s="452">
        <f>IF(ISNUMBER(F18/B18),F18/B18," - ")</f>
        <v>175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391</v>
      </c>
      <c r="E23" s="1147">
        <f t="shared" si="3"/>
        <v>97.75</v>
      </c>
      <c r="F23" s="1146">
        <f>SUBTOTAL(9,F16:F22)</f>
        <v>2230</v>
      </c>
      <c r="G23" s="1147">
        <f t="shared" si="4"/>
        <v>557.5</v>
      </c>
      <c r="H23" s="1146">
        <f>SUBTOTAL(9,H16:H22)</f>
        <v>22</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1059</v>
      </c>
      <c r="E31" s="1085">
        <f>IF(ISNUMBER(D31/B31),D31/B31," - ")</f>
        <v>353</v>
      </c>
      <c r="F31" s="1084">
        <f>SUBTOTAL(9,F8:F30)</f>
        <v>3120</v>
      </c>
      <c r="G31" s="1085">
        <f>IF(ISNUMBER(F31/B31),F31/B31," - ")</f>
        <v>1040</v>
      </c>
      <c r="H31" s="1084">
        <f>SUBTOTAL(9,H8:H30)</f>
        <v>899</v>
      </c>
      <c r="I31" s="1085">
        <f>IF(ISNUMBER(H31/B31),H31/B31," - ")</f>
        <v>299.66666666666669</v>
      </c>
    </row>
    <row r="34" spans="1:1">
      <c r="A34" s="439" t="str">
        <f>Criterios!A4</f>
        <v>Fecha Informe: 06 may. 2023</v>
      </c>
    </row>
    <row r="39" spans="1:1">
      <c r="A39" s="462"/>
    </row>
  </sheetData>
  <sheetProtection algorithmName="SHA-512" hashValue="elEY6KW1glbpUVzE7XR8Wwbqa6hUsGLLhHuGvSw2jIB226tOCfuvJH4IYLnGTZNoHv5gaFXe7xlY+qai9zcxow==" saltValue="344mykw8jexqyi5VPKB2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ANDUJAR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15</v>
      </c>
      <c r="C10" s="489">
        <f>IF(ISNUMBER(Datos!Q10),Datos!Q10," - ")</f>
        <v>2</v>
      </c>
      <c r="D10" s="456">
        <f>IF(ISNUMBER(Datos!R10),Datos!R10," - ")</f>
        <v>34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626</v>
      </c>
      <c r="C12" s="489">
        <f>IF(ISNUMBER(Datos!Q12),Datos!Q12," - ")</f>
        <v>563</v>
      </c>
      <c r="D12" s="456">
        <f>IF(ISNUMBER(Datos!R12),Datos!R12," - ")</f>
        <v>1706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641</v>
      </c>
      <c r="C14" s="1150">
        <f>SUBTOTAL(9,C9:C13)</f>
        <v>565</v>
      </c>
      <c r="D14" s="1148">
        <f>SUBTOTAL(9,D9:D13)</f>
        <v>1740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97</v>
      </c>
      <c r="C17" s="489">
        <f>IF(ISNUMBER(Datos!Q17),Datos!Q17," - ")</f>
        <v>73</v>
      </c>
      <c r="D17" s="456">
        <f>IF(ISNUMBER(Datos!R17),Datos!R17," - ")</f>
        <v>127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97</v>
      </c>
      <c r="C23" s="1150">
        <f>SUBTOTAL(9,C16:C22)</f>
        <v>73</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738</v>
      </c>
      <c r="C31" s="1089">
        <f>SUBTOTAL(9,C8:C30)</f>
        <v>638</v>
      </c>
      <c r="D31" s="1090">
        <f>SUBTOTAL(9,D8:D30)</f>
        <v>1867</v>
      </c>
    </row>
    <row r="32" spans="1:4" ht="7.5" customHeight="1"/>
    <row r="33" spans="1:1" ht="6" customHeight="1"/>
    <row r="34" spans="1:1">
      <c r="A34" s="439" t="str">
        <f>Criterios!A4</f>
        <v>Fecha Informe: 06 may. 2023</v>
      </c>
    </row>
    <row r="39" spans="1:1">
      <c r="A39" s="462"/>
    </row>
  </sheetData>
  <sheetProtection algorithmName="SHA-512" hashValue="BRKBB9o6QlluvRylsGGVCLh0dvidIRUiuL0ZFCQUFZ1HZ4eQJZ7WiykWB4mzgL049gD97cJDVT73+03ZVeCYiA==" saltValue="K2cKjX1DV7wQmndqiDuH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ANDUJAR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-0.4098360655737705</v>
      </c>
      <c r="C10" s="515">
        <f>IF(ISNUMBER((Datos!J10-Datos!T10)/Datos!T10),(Datos!J10-Datos!T10)/Datos!T10," - ")</f>
        <v>0.15217391304347827</v>
      </c>
      <c r="D10" s="515">
        <f>IF(ISNUMBER((Datos!K10-Datos!U10)/Datos!U10),(Datos!K10-Datos!U10)/Datos!U10," - ")</f>
        <v>-0.39436619718309857</v>
      </c>
      <c r="E10" s="515">
        <f>IF(ISNUMBER((Datos!L10-Datos!V10)/Datos!V10),(Datos!L10-Datos!V10)/Datos!V10," - ")</f>
        <v>0.27777777777777779</v>
      </c>
      <c r="F10" s="515">
        <f>IF(ISNUMBER((Datos!M10-Datos!W10)/Datos!W10),(Datos!M10-Datos!W10)/Datos!W10," - ")</f>
        <v>-0.1891891891891892</v>
      </c>
      <c r="G10" s="516">
        <f>IF(ISNUMBER((Datos!N10-Datos!X10)/Datos!X10),(Datos!N10-Datos!X10)/Datos!X10," - ")</f>
        <v>-0.3125</v>
      </c>
      <c r="H10" s="514">
        <f>IF(ISNUMBER(((NºAsuntos!G10/NºAsuntos!E10)-Datos!BD10)/Datos!BD10),((NºAsuntos!G10/NºAsuntos!E10)-Datos!BD10)/Datos!BD10," - ")</f>
        <v>-0.47435556736646289</v>
      </c>
      <c r="I10" s="515">
        <f>IF(ISNUMBER(((NºAsuntos!I10/NºAsuntos!G10)-Datos!BE10)/Datos!BE10),((NºAsuntos!I10/NºAsuntos!G10)-Datos!BE10)/Datos!BE10," - ")</f>
        <v>1.1098191214470283</v>
      </c>
      <c r="J10" s="521">
        <f>IF(ISNUMBER((('Resol  Asuntos'!D10/NºAsuntos!G10)-Datos!BF10)/Datos!BF10),(('Resol  Asuntos'!D10/NºAsuntos!G10)-Datos!BF10)/Datos!BF10," - ")</f>
        <v>0.33878064110622264</v>
      </c>
      <c r="K10" s="522">
        <f>IF(ISNUMBER((((NºAsuntos!C10+NºAsuntos!E10)/NºAsuntos!G10)-Datos!BG10)/Datos!BG10),(((NºAsuntos!C10+NºAsuntos!E10)/NºAsuntos!G10)-Datos!BG10)/Datos!BG10," - ")</f>
        <v>0.37339708758965451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-5.7692307692307696E-2</v>
      </c>
      <c r="C12" s="515">
        <f>IF(ISNUMBER(
   IF(J_V="SI",(Datos!J12-Datos!T12)/Datos!T12,(Datos!J12+Datos!Z12-(Datos!T12+Datos!AH12))/(Datos!T12+Datos!AH12))
     ),IF(J_V="SI",(Datos!J12-Datos!T12)/Datos!T12,(Datos!J12+Datos!Z12-(Datos!T12+Datos!AH12))/(Datos!T12+Datos!AH12))," - ")</f>
        <v>0.20065328978068128</v>
      </c>
      <c r="D12" s="515">
        <f>IF(ISNUMBER(
   IF(J_V="SI",(Datos!K12-Datos!U12)/Datos!U12,(Datos!K12+Datos!AA12-(Datos!U12+Datos!AI12))/(Datos!U12+Datos!AI12))
     ),IF(J_V="SI",(Datos!K12-Datos!U12)/Datos!U12,(Datos!K12+Datos!AA12-(Datos!U12+Datos!AI12))/(Datos!U12+Datos!AI12))," - ")</f>
        <v>-2.4280575539568347E-2</v>
      </c>
      <c r="E12" s="515">
        <f>IF(ISNUMBER(
   IF(J_V="SI",(Datos!L12-Datos!V12)/Datos!V12,(Datos!L12+Datos!AB12-(Datos!V12+Datos!AJ12))/(Datos!V12+Datos!AJ12))
     ),IF(J_V="SI",(Datos!L12-Datos!V12)/Datos!V12,(Datos!L12+Datos!AB12-(Datos!V12+Datos!AJ12))/(Datos!V12+Datos!AJ12))," - ")</f>
        <v>0.30461073318216175</v>
      </c>
      <c r="F12" s="515">
        <f>IF(ISNUMBER((Datos!M12-Datos!W12)/Datos!W12),(Datos!M12-Datos!W12)/Datos!W12," - ")</f>
        <v>0.23166023166023167</v>
      </c>
      <c r="G12" s="516">
        <f>IF(ISNUMBER((Datos!N12-Datos!X12)/Datos!X12),(Datos!N12-Datos!X12)/Datos!X12," - ")</f>
        <v>6.0313630880579013E-2</v>
      </c>
      <c r="H12" s="514">
        <f>IF(ISNUMBER(((NºAsuntos!G12/NºAsuntos!E12)-Datos!BD12)/Datos!BD12),((NºAsuntos!G12/NºAsuntos!E12)-Datos!BD12)/Datos!BD12," - ")</f>
        <v>-0.18734289676692376</v>
      </c>
      <c r="I12" s="515">
        <f>IF(ISNUMBER(((NºAsuntos!I12/NºAsuntos!G12)-Datos!BE12)/Datos!BE12),((NºAsuntos!I12/NºAsuntos!G12)-Datos!BE12)/Datos!BE12," - ")</f>
        <v>0.33707570073600346</v>
      </c>
      <c r="J12" s="521">
        <f>IF(ISNUMBER((('Resol  Asuntos'!D12/NºAsuntos!G12)-Datos!BF12)/Datos!BF12),(('Resol  Asuntos'!D12/NºAsuntos!G12)-Datos!BF12)/Datos!BF12," - ")</f>
        <v>-0.21124668552973164</v>
      </c>
      <c r="K12" s="522">
        <f>IF(ISNUMBER((((NºAsuntos!C12+NºAsuntos!E12)/NºAsuntos!G12)-Datos!BG12)/Datos!BG12),(((NºAsuntos!C12+NºAsuntos!E12)/NºAsuntos!G12)-Datos!BG12)/Datos!BG12," - ")</f>
        <v>0.12572629040702921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-7.2354948805460756E-2</v>
      </c>
      <c r="C14" s="1152">
        <f>IF(ISNUMBER(
   IF(J_V="SI",(Datos!J14-Datos!T14)/Datos!T14,(Datos!J14+Datos!Z14-(Datos!T14+Datos!AH14))/(Datos!T14+Datos!AH14))
     ),IF(J_V="SI",(Datos!J14-Datos!T14)/Datos!T14,(Datos!J14+Datos!Z14-(Datos!T14+Datos!AH14))/(Datos!T14+Datos!AH14))," - ")</f>
        <v>0.19963453631795341</v>
      </c>
      <c r="D14" s="1152">
        <f>IF(ISNUMBER(
   IF(J_V="SI",(Datos!K14-Datos!U14)/Datos!U14,(Datos!K14+Datos!AA14-(Datos!U14+Datos!AI14))/(Datos!U14+Datos!AI14))
     ),IF(J_V="SI",(Datos!K14-Datos!U14)/Datos!U14,(Datos!K14+Datos!AA14-(Datos!U14+Datos!AI14))/(Datos!U14+Datos!AI14))," - ")</f>
        <v>-3.5729847494553379E-2</v>
      </c>
      <c r="E14" s="1152">
        <f>IF(ISNUMBER(
   IF(J_V="SI",(Datos!L14-Datos!V14)/Datos!V14,(Datos!L14+Datos!AB14-(Datos!V14+Datos!AJ14))/(Datos!V14+Datos!AJ14))
     ),IF(J_V="SI",(Datos!L14-Datos!V14)/Datos!V14,(Datos!L14+Datos!AB14-(Datos!V14+Datos!AJ14))/(Datos!V14+Datos!AJ14))," - ")</f>
        <v>0.30389992641648272</v>
      </c>
      <c r="F14" s="1153">
        <f>IF(ISNUMBER((Datos!M14-Datos!W14)/Datos!W14),(Datos!M14-Datos!W14)/Datos!W14," - ")</f>
        <v>0.20360360360360361</v>
      </c>
      <c r="G14" s="1154">
        <f>IF(ISNUMBER((Datos!N14-Datos!X14)/Datos!X14),(Datos!N14-Datos!X14)/Datos!X14," - ")</f>
        <v>5.3254437869822487E-2</v>
      </c>
      <c r="H14" s="1154">
        <f>IF(ISNUMBER(((NºAsuntos!G14/NºAsuntos!E14)-Datos!BD14)/Datos!BD14),((NºAsuntos!G14/NºAsuntos!E14)-Datos!BD14)/Datos!BD14," - ")</f>
        <v>-0.19619673882923744</v>
      </c>
      <c r="I14" s="1154">
        <f>IF(ISNUMBER(((NºAsuntos!I14/NºAsuntos!G14)-Datos!BE14)/Datos!BE14),((NºAsuntos!I14/NºAsuntos!G14)-Datos!BE14)/Datos!BE14," - ")</f>
        <v>0.35221433851144501</v>
      </c>
      <c r="J14" s="1154">
        <f>IF(ISNUMBER((('Resol  Asuntos'!D14/NºAsuntos!G14)-Datos!BF14)/Datos!BF14),(('Resol  Asuntos'!D14/NºAsuntos!G14)-Datos!BF14)/Datos!BF14," - ")</f>
        <v>-0.20005551908781716</v>
      </c>
      <c r="K14" s="1154">
        <f>IF(ISNUMBER((((NºAsuntos!C14+NºAsuntos!E14)/NºAsuntos!G14)-Datos!BG14)/Datos!BG14),(((NºAsuntos!C14+NºAsuntos!E14)/NºAsuntos!G14)-Datos!BG14)/Datos!BG14," - ")</f>
        <v>0.1309959731902173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-0.16819012797074953</v>
      </c>
      <c r="C17" s="515">
        <f>IF(ISNUMBER(
   IF(D_I="SI",(Datos!J17-Datos!T17)/Datos!T17,(Datos!J17+Datos!AD17-(Datos!T17+Datos!AL17))/(Datos!T17+Datos!AL17))
     ),IF(D_I="SI",(Datos!J17-Datos!T17)/Datos!T17,(Datos!J17+Datos!AD17-(Datos!T17+Datos!AL17))/(Datos!T17+Datos!AL17))," - ")</f>
        <v>0.10592389172224402</v>
      </c>
      <c r="D17" s="515">
        <f>IF(ISNUMBER(
   IF(D_I="SI",(Datos!K17-Datos!U17)/Datos!U17,(Datos!K17+Datos!AE17-(Datos!U17+Datos!AM17))/(Datos!U17+Datos!AM17))
     ),IF(D_I="SI",(Datos!K17-Datos!U17)/Datos!U17,(Datos!K17+Datos!AE17-(Datos!U17+Datos!AM17))/(Datos!U17+Datos!AM17))," - ")</f>
        <v>2.5765496639283045E-2</v>
      </c>
      <c r="E17" s="515">
        <f>IF(ISNUMBER(
   IF(D_I="SI",(Datos!L17-Datos!V17)/Datos!V17,(Datos!L17+Datos!AF17-(Datos!V17+Datos!AN17))/(Datos!V17+Datos!AN17))
     ),IF(D_I="SI",(Datos!L17-Datos!V17)/Datos!V17,(Datos!L17+Datos!AF17-(Datos!V17+Datos!AN17))/(Datos!V17+Datos!AN17))," - ")</f>
        <v>0.16263736263736264</v>
      </c>
      <c r="F17" s="515">
        <f>IF(ISNUMBER((Datos!M17-Datos!W17)/Datos!W17),(Datos!M17-Datos!W17)/Datos!W17," - ")</f>
        <v>0.28518518518518521</v>
      </c>
      <c r="G17" s="516">
        <f>IF(ISNUMBER((Datos!N17-Datos!X17)/Datos!X17),(Datos!N17-Datos!X17)/Datos!X17," - ")</f>
        <v>0</v>
      </c>
      <c r="H17" s="514">
        <f>IF(ISNUMBER(((NºAsuntos!G17/NºAsuntos!E17)-Datos!BD17)/Datos!BD17),((NºAsuntos!G17/NºAsuntos!E17)-Datos!BD17)/Datos!BD17," - ")</f>
        <v>-7.2480932623791364E-2</v>
      </c>
      <c r="I17" s="515">
        <f>IF(ISNUMBER(((NºAsuntos!I17/NºAsuntos!G17)-Datos!BE17)/Datos!BE17),((NºAsuntos!I17/NºAsuntos!G17)-Datos!BE17)/Datos!BE17," - ")</f>
        <v>0.13343387591658423</v>
      </c>
      <c r="J17" s="521">
        <f>IF(ISNUMBER((('Resol  Asuntos'!D17/NºAsuntos!G17)-Datos!BF17)/Datos!BF17),(('Resol  Asuntos'!D17/NºAsuntos!G17)-Datos!BF17)/Datos!BF17," - ")</f>
        <v>0.25290350415941976</v>
      </c>
      <c r="K17" s="522">
        <f>IF(ISNUMBER((((NºAsuntos!C17+NºAsuntos!E17)/NºAsuntos!G17)-Datos!BG17)/Datos!BG17),(((NºAsuntos!C17+NºAsuntos!E17)/NºAsuntos!G17)-Datos!BG17)/Datos!BG17," - ")</f>
        <v>3.0931088554203883E-2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0.75</v>
      </c>
      <c r="D18" s="515">
        <f>IF(ISNUMBER(
   IF(D_I="SI",(Datos!K18-Datos!U18)/Datos!U18,(Datos!K18+Datos!AE18-(Datos!U18+Datos!AM18))/(Datos!U18+Datos!AM18))
     ),IF(D_I="SI",(Datos!K18-Datos!U18)/Datos!U18,(Datos!K18+Datos!AE18-(Datos!U18+Datos!AM18))/(Datos!U18+Datos!AM18))," - ")</f>
        <v>0.38194444444444442</v>
      </c>
      <c r="E18" s="515">
        <f>IF(ISNUMBER(
   IF(D_I="SI",(Datos!L18-Datos!V18)/Datos!V18,(Datos!L18+Datos!AF18-(Datos!V18+Datos!AN18))/(Datos!V18+Datos!AN18))
     ),IF(D_I="SI",(Datos!L18-Datos!V18)/Datos!V18,(Datos!L18+Datos!AF18-(Datos!V18+Datos!AN18))/(Datos!V18+Datos!AN18))," - ")</f>
        <v>1.7857142857142858</v>
      </c>
      <c r="F18" s="515">
        <f>IF(ISNUMBER((Datos!M18-Datos!W18)/Datos!W18),(Datos!M18-Datos!W18)/Datos!W18," - ")</f>
        <v>0.375</v>
      </c>
      <c r="G18" s="516">
        <f>IF(ISNUMBER((Datos!N18-Datos!X18)/Datos!X18),(Datos!N18-Datos!X18)/Datos!X18," - ")</f>
        <v>0.75</v>
      </c>
      <c r="H18" s="514">
        <f>IF(ISNUMBER(((NºAsuntos!G18/NºAsuntos!E18)-Datos!BD18)/Datos!BD18),((NºAsuntos!G18/NºAsuntos!E18)-Datos!BD18)/Datos!BD18," - ")</f>
        <v>-0.21031746031746035</v>
      </c>
      <c r="I18" s="515">
        <f>IF(ISNUMBER(((NºAsuntos!I18/NºAsuntos!G18)-Datos!BE18)/Datos!BE18),((NºAsuntos!I18/NºAsuntos!G18)-Datos!BE18)/Datos!BE18," - ")</f>
        <v>1.0157932519741564</v>
      </c>
      <c r="J18" s="521">
        <f>IF(ISNUMBER((('Resol  Asuntos'!D18/NºAsuntos!G18)-Datos!BF18)/Datos!BF18),(('Resol  Asuntos'!D18/NºAsuntos!G18)-Datos!BF18)/Datos!BF18," - ")</f>
        <v>-5.0251256281405865E-3</v>
      </c>
      <c r="K18" s="522">
        <f>IF(ISNUMBER((((NºAsuntos!C18+NºAsuntos!E18)/NºAsuntos!G18)-Datos!BG18)/Datos!BG18),(((NºAsuntos!C18+NºAsuntos!E18)/NºAsuntos!G18)-Datos!BG18)/Datos!BG18," - ")</f>
        <v>9.0006997010368267E-2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-0.18717504332755633</v>
      </c>
      <c r="C23" s="1152">
        <f>IF(ISNUMBER(
   IF(Criterios!B14="SI",(Datos!J23-Datos!T23)/Datos!T23,(Datos!J23+Datos!AD23-(Datos!T23+Datos!AL23))/(Datos!T23+Datos!AL23))
     ),IF(Criterios!B14="SI",(Datos!J23-Datos!T23)/Datos!T23,(Datos!J23+Datos!AD23-(Datos!T23+Datos!AL23))/(Datos!T23+Datos!AL23))," - ")</f>
        <v>0.13672020918939112</v>
      </c>
      <c r="D23" s="1152">
        <f>IF(ISNUMBER(
   IF(Criterios!B14="SI",(Datos!K23-Datos!U23)/Datos!U23,(Datos!K23+Datos!AE23-(Datos!U23+Datos!AM23))/(Datos!U23+Datos!AM23))
     ),IF(Criterios!B14="SI",(Datos!K23-Datos!U23)/Datos!U23,(Datos!K23+Datos!AE23-(Datos!U23+Datos!AM23))/(Datos!U23+Datos!AM23))," - ")</f>
        <v>4.3940467753366408E-2</v>
      </c>
      <c r="E23" s="1152">
        <f>IF(ISNUMBER(
   IF(Criterios!B14="SI",(Datos!L23-Datos!V23)/Datos!V23,(Datos!L23+Datos!AF23-(Datos!V23+Datos!AN23))/(Datos!V23+Datos!AN23))
     ),IF(Criterios!B14="SI",(Datos!L23-Datos!V23)/Datos!V23,(Datos!L23+Datos!AF23-(Datos!V23+Datos!AN23))/(Datos!V23+Datos!AN23))," - ")</f>
        <v>0.21108742004264391</v>
      </c>
      <c r="F23" s="1153">
        <f>IF(ISNUMBER((Datos!M23-Datos!W23)/Datos!W23),(Datos!M23-Datos!W23)/Datos!W23," - ")</f>
        <v>0.29470198675496689</v>
      </c>
      <c r="G23" s="1154">
        <f>IF(ISNUMBER((Datos!N23-Datos!X23)/Datos!X23),(Datos!N23-Datos!X23)/Datos!X23," - ")</f>
        <v>3.4802784222737818E-2</v>
      </c>
      <c r="H23" s="1154">
        <f>IF(ISNUMBER(((NºAsuntos!G23/NºAsuntos!E23)-Datos!BD23)/Datos!BD23),((NºAsuntos!G23/NºAsuntos!E23)-Datos!BD23)/Datos!BD23," - ")</f>
        <v>-8.162056123044302E-2</v>
      </c>
      <c r="I23" s="1154">
        <f>IF(ISNUMBER(((NºAsuntos!I23/NºAsuntos!G23)-Datos!BE23)/Datos!BE23),((NºAsuntos!I23/NºAsuntos!G23)-Datos!BE23)/Datos!BE23," - ")</f>
        <v>0.1601115747998442</v>
      </c>
      <c r="J23" s="1154">
        <f>IF(ISNUMBER((('Resol  Asuntos'!D23/NºAsuntos!G23)-Datos!BF23)/Datos!BF23),(('Resol  Asuntos'!D23/NºAsuntos!G23)-Datos!BF23)/Datos!BF23," - ")</f>
        <v>0.24020672322556558</v>
      </c>
      <c r="K23" s="1154">
        <f>IF(ISNUMBER((((NºAsuntos!C23+NºAsuntos!E23)/NºAsuntos!G23)-Datos!BG23)/Datos!BG23),(((NºAsuntos!C23+NºAsuntos!E23)/NºAsuntos!G23)-Datos!BG23)/Datos!BG23," - ")</f>
        <v>3.3858792416331482E-2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-0.10479921645445642</v>
      </c>
      <c r="C31" s="1092">
        <f>IF(ISNUMBER(
   IF(J_V="SI",(Datos!J31-Datos!T31)/Datos!T31,(Datos!J31+Datos!Z31-(Datos!T31+Datos!AH31))/(Datos!T31+Datos!AH31))
     ),IF(J_V="SI",(Datos!J31-Datos!T31)/Datos!T31,(Datos!J31+Datos!Z31-(Datos!T31+Datos!AH31))/(Datos!T31+Datos!AH31))," - ")</f>
        <v>0.16502260583641595</v>
      </c>
      <c r="D31" s="1092">
        <f>IF(ISNUMBER(
   IF(J_V="SI",(Datos!K31-Datos!U31)/Datos!U31,(Datos!K31+Datos!AA31-(Datos!U31+Datos!AI31))/(Datos!U31+Datos!AI31))
     ),IF(J_V="SI",(Datos!K31-Datos!U31)/Datos!U31,(Datos!K31+Datos!AA31-(Datos!U31+Datos!AI31))/(Datos!U31+Datos!AI31))," - ")</f>
        <v>8.2079343365253077E-3</v>
      </c>
      <c r="E31" s="1092">
        <f>IF(ISNUMBER(
   IF(J_V="SI",(Datos!L31-Datos!V31)/Datos!V31,(Datos!L31+Datos!AB31-(Datos!V31+Datos!AJ31))/(Datos!V31+Datos!AJ31))
     ),IF(J_V="SI",(Datos!L31-Datos!V31)/Datos!V31,(Datos!L31+Datos!AB31-(Datos!V31+Datos!AJ31))/(Datos!V31+Datos!AJ31))," - ")</f>
        <v>0.28008752735229758</v>
      </c>
      <c r="F31" s="1093">
        <f>IF(ISNUMBER((Datos!M31-Datos!W31)/Datos!W31),(Datos!M31-Datos!W31)/Datos!W31," - ")</f>
        <v>0.23570595099183198</v>
      </c>
      <c r="G31" s="1094">
        <f>IF(ISNUMBER((Datos!N31-Datos!X31)/Datos!X31),(Datos!N31-Datos!X31)/Datos!X31," - ")</f>
        <v>0.04</v>
      </c>
      <c r="H31" s="1095">
        <f>IF(ISNUMBER((Tasas!B31-Datos!BD31)/Datos!BD31),(Tasas!B31-Datos!BD31)/Datos!BD31," - ")</f>
        <v>-0.13460225639768353</v>
      </c>
      <c r="I31" s="1096">
        <f>IF(ISNUMBER((Tasas!C31-Datos!BE31)/Datos!BE31),(Tasas!C31-Datos!BE31)/Datos!BE31," - ")</f>
        <v>0.26966619063029801</v>
      </c>
      <c r="J31" s="1097">
        <f>IF(ISNUMBER((Tasas!D31-Datos!BF31)/Datos!BF31),(Tasas!D31-Datos!BF31)/Datos!BF31," - ")</f>
        <v>-0.10070328618427166</v>
      </c>
      <c r="K31" s="1097">
        <f>IF(ISNUMBER((Tasas!E31-Datos!BG31)/Datos!BG31),(Tasas!E31-Datos!BG31)/Datos!BG31," - ")</f>
        <v>7.6428210581560713E-2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1VRAGe8INL6b39jcqJF7uezPuyAQnIQt/+MAhTrW7fel7b2CQQB2Ws1++8pKzNpCnDfbuB4O65oxk1Ps53fyw==" saltValue="jCUnu16HNzdN/drd57Mj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ANDUJAR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0.81132075471698117</v>
      </c>
      <c r="C10" s="498">
        <f>IF(ISNUMBER(NºAsuntos!I10/NºAsuntos!G10),NºAsuntos!I10/NºAsuntos!G10," - ")</f>
        <v>1.069767441860465</v>
      </c>
      <c r="D10" s="499">
        <f>IF(ISNUMBER('Resol  Asuntos'!D10/NºAsuntos!G10),'Resol  Asuntos'!D10/NºAsuntos!G10," - ")</f>
        <v>0.69767441860465118</v>
      </c>
      <c r="E10" s="500">
        <f>IF(ISNUMBER((NºAsuntos!C10+NºAsuntos!E10)/NºAsuntos!G10),(NºAsuntos!C10+NºAsuntos!E10)/NºAsuntos!G10," - ")</f>
        <v>2.0697674418604652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0.84337349397590367</v>
      </c>
      <c r="C12" s="498">
        <f>IF(ISNUMBER(NºAsuntos!I12/NºAsuntos!G12),NºAsuntos!I12/NºAsuntos!G12," - ")</f>
        <v>0.79539170506912438</v>
      </c>
      <c r="D12" s="499">
        <f>IF(ISNUMBER('Resol  Asuntos'!D12/NºAsuntos!G12),'Resol  Asuntos'!D12/NºAsuntos!G12," - ")</f>
        <v>0.29400921658986173</v>
      </c>
      <c r="E12" s="500">
        <f>IF(ISNUMBER((NºAsuntos!C12+NºAsuntos!E12)/NºAsuntos!G12),(NºAsuntos!C12+NºAsuntos!E12)/NºAsuntos!G12," - ")</f>
        <v>1.7953917050691244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0.84272658035034276</v>
      </c>
      <c r="C14" s="1156">
        <f>IF(ISNUMBER(NºAsuntos!I14/NºAsuntos!G14),NºAsuntos!I14/NºAsuntos!G14," - ")</f>
        <v>0.80072300045187528</v>
      </c>
      <c r="D14" s="1157">
        <f>IF(ISNUMBER('Resol  Asuntos'!D14/NºAsuntos!G14),'Resol  Asuntos'!D14/NºAsuntos!G14," - ")</f>
        <v>0.30185268865793041</v>
      </c>
      <c r="E14" s="1158">
        <f>IF(ISNUMBER((NºAsuntos!C14+NºAsuntos!E14)/NºAsuntos!G14),(NºAsuntos!C14+NºAsuntos!E14)/NºAsuntos!G14," - ")</f>
        <v>1.8007230004518753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0.97445902802412199</v>
      </c>
      <c r="C17" s="498">
        <f>IF(ISNUMBER(NºAsuntos!I17/NºAsuntos!G17),NºAsuntos!I17/NºAsuntos!G17," - ")</f>
        <v>0.19257371678194393</v>
      </c>
      <c r="D17" s="499">
        <f>IF(ISNUMBER('Resol  Asuntos'!D17/NºAsuntos!G17),'Resol  Asuntos'!D17/NºAsuntos!G17," - ")</f>
        <v>0.12631962140516928</v>
      </c>
      <c r="E17" s="500">
        <f>IF(ISNUMBER((NºAsuntos!C17+NºAsuntos!E17)/NºAsuntos!G17),(NºAsuntos!C17+NºAsuntos!E17)/NºAsuntos!G17," - ")</f>
        <v>1.1918456497997816</v>
      </c>
      <c r="G17" s="523"/>
    </row>
    <row r="18" spans="1:7">
      <c r="A18" s="450" t="str">
        <f>Datos!A18</f>
        <v>Jdos. Violencia contra la mujer</v>
      </c>
      <c r="B18" s="497">
        <f>IF(ISNUMBER(NºAsuntos!G18/NºAsuntos!E18),NºAsuntos!G18/NºAsuntos!E18," - ")</f>
        <v>0.8883928571428571</v>
      </c>
      <c r="C18" s="498">
        <f>IF(ISNUMBER(NºAsuntos!I18/NºAsuntos!G18),NºAsuntos!I18/NºAsuntos!G18," - ")</f>
        <v>0.19597989949748743</v>
      </c>
      <c r="D18" s="499">
        <f>IF(ISNUMBER('Resol  Asuntos'!D18/NºAsuntos!G18),'Resol  Asuntos'!D18/NºAsuntos!G18," - ")</f>
        <v>0.22110552763819097</v>
      </c>
      <c r="E18" s="500">
        <f>IF(ISNUMBER((NºAsuntos!C18+NºAsuntos!E18)/NºAsuntos!G18),(NºAsuntos!C18+NºAsuntos!E18)/NºAsuntos!G18," - ")</f>
        <v>1.1959798994974875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0.96812356227407159</v>
      </c>
      <c r="C23" s="1156">
        <f>IF(ISNUMBER(NºAsuntos!I23/NºAsuntos!G23),NºAsuntos!I23/NºAsuntos!G23," - ")</f>
        <v>0.19280380176510523</v>
      </c>
      <c r="D23" s="1159">
        <f>IF(ISNUMBER('Resol  Asuntos'!D23/NºAsuntos!G23),'Resol  Asuntos'!D23/NºAsuntos!G23," - ")</f>
        <v>0.1327223353699932</v>
      </c>
      <c r="E23" s="1158">
        <f>IF(ISNUMBER((NºAsuntos!C23+NºAsuntos!E23)/NºAsuntos!G23),(NºAsuntos!C23+NºAsuntos!E23)/NºAsuntos!G23," - ")</f>
        <v>1.1921249151391717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0.91003704357029458</v>
      </c>
      <c r="C31" s="1099">
        <f>IF(ISNUMBER(NºAsuntos!I31/NºAsuntos!G31),NºAsuntos!I31/NºAsuntos!G31," - ")</f>
        <v>0.45357627447179688</v>
      </c>
      <c r="D31" s="1100">
        <f>IF(ISNUMBER('Resol  Asuntos'!D31/NºAsuntos!G31),'Resol  Asuntos'!D31/NºAsuntos!G31," - ")</f>
        <v>0.20527233960069782</v>
      </c>
      <c r="E31" s="1101">
        <f>IF(ISNUMBER((NºAsuntos!C31+NºAsuntos!E31)/NºAsuntos!G31),(NºAsuntos!C31+NºAsuntos!E31)/NºAsuntos!G31," - ")</f>
        <v>1.4531886024423337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BmYzAcJRnPT/SxAI9iX05hjPAYLTLU+ULFzTpzQO9SFYGtjNyXS2YQ+MRsmwXWaiZe3vgfM8tCj39T0V41Wtg==" saltValue="oYfhrNqjShwW4AEyQ9nU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ANDUJAR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2</v>
      </c>
      <c r="Y10" s="374">
        <f t="shared" ref="Y10:Y13" si="0">SUM(W10:X10)</f>
        <v>45</v>
      </c>
      <c r="Z10" s="375" t="str">
        <f>IF(ISNUMBER(Datos!CC10),Datos!CC10," - ")</f>
        <v xml:space="preserve"> - </v>
      </c>
      <c r="AA10" s="372">
        <f>IF(ISNUMBER(Datos!L10),Datos!L10,"-")</f>
        <v>46</v>
      </c>
      <c r="AB10" s="374">
        <f>IF(ISNUMBER(Datos!R10),Datos!R10," - ")</f>
        <v>34</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0.81132075471698117</v>
      </c>
      <c r="AM10" s="284">
        <f>IF(ISNUMBER(((NºAsuntos!I10/NºAsuntos!G10)*11)/factor_trimestre),((NºAsuntos!I10/NºAsuntos!G10)*11)/factor_trimestre," - ")</f>
        <v>11.767441860465116</v>
      </c>
      <c r="AN10" s="267">
        <f>IF(ISNUMBER('Resol  Asuntos'!D10/NºAsuntos!G10),'Resol  Asuntos'!D10/NºAsuntos!G10," - ")</f>
        <v>0.69767441860465118</v>
      </c>
      <c r="AO10" s="268">
        <f>IF(ISNUMBER((NºAsuntos!C10+NºAsuntos!E10)/NºAsuntos!G10),(NºAsuntos!C10+NºAsuntos!E10)/NºAsuntos!G10," - ")</f>
        <v>2.0697674418604652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563</v>
      </c>
      <c r="Y12" s="374">
        <f t="shared" si="0"/>
        <v>563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638</v>
      </c>
      <c r="AJ12" s="243" t="str">
        <f>IF(ISNUMBER(Datos!BW12),Datos!BW12," - ")</f>
        <v xml:space="preserve"> - </v>
      </c>
      <c r="AK12" s="242" t="str">
        <f>IF(ISNUMBER(Datos!BX12),Datos!BX12," - ")</f>
        <v xml:space="preserve"> - </v>
      </c>
      <c r="AL12" s="266">
        <f>IF(ISNUMBER(NºAsuntos!G12/NºAsuntos!E12),NºAsuntos!G12/NºAsuntos!E12," - ")</f>
        <v>0.84337349397590367</v>
      </c>
      <c r="AM12" s="284">
        <f>IF(ISNUMBER(((NºAsuntos!I12/NºAsuntos!G12)*11)/factor_trimestre),((NºAsuntos!I12/NºAsuntos!G12)*11)/factor_trimestre," - ")</f>
        <v>8.7493087557603673</v>
      </c>
      <c r="AN12" s="267">
        <f>IF(ISNUMBER('Resol  Asuntos'!D12/NºAsuntos!G12),'Resol  Asuntos'!D12/NºAsuntos!G12," - ")</f>
        <v>0.29400921658986173</v>
      </c>
      <c r="AO12" s="268">
        <f>IF(ISNUMBER((NºAsuntos!C12+NºAsuntos!E12)/NºAsuntos!G12),(NºAsuntos!C12+NºAsuntos!E12)/NºAsuntos!G12," - ")</f>
        <v>1.7953917050691244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36</v>
      </c>
      <c r="G14" s="1163">
        <f t="shared" si="5"/>
        <v>36</v>
      </c>
      <c r="H14" s="1162">
        <f t="shared" si="5"/>
        <v>0</v>
      </c>
      <c r="I14" s="1164">
        <f t="shared" si="5"/>
        <v>0</v>
      </c>
      <c r="J14" s="1164">
        <f t="shared" si="5"/>
        <v>0</v>
      </c>
      <c r="K14" s="1164">
        <f t="shared" si="5"/>
        <v>0</v>
      </c>
      <c r="L14" s="1164">
        <f t="shared" si="5"/>
        <v>641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565</v>
      </c>
      <c r="Y14" s="1165">
        <f t="shared" si="6"/>
        <v>608</v>
      </c>
      <c r="Z14" s="1165">
        <f t="shared" si="6"/>
        <v>0</v>
      </c>
      <c r="AA14" s="1165">
        <f t="shared" si="6"/>
        <v>46</v>
      </c>
      <c r="AB14" s="1165">
        <f t="shared" si="6"/>
        <v>1740</v>
      </c>
      <c r="AC14" s="1165">
        <f t="shared" si="6"/>
        <v>80</v>
      </c>
      <c r="AD14" s="1165">
        <f t="shared" si="6"/>
        <v>0</v>
      </c>
      <c r="AE14" s="1169">
        <f t="shared" si="6"/>
        <v>0</v>
      </c>
      <c r="AF14" s="1162">
        <f t="shared" si="6"/>
        <v>0</v>
      </c>
      <c r="AG14" s="1170">
        <f t="shared" si="6"/>
        <v>0</v>
      </c>
      <c r="AH14" s="1167">
        <f t="shared" si="6"/>
        <v>0</v>
      </c>
      <c r="AI14" s="1162">
        <f t="shared" si="6"/>
        <v>668</v>
      </c>
      <c r="AJ14" s="1164">
        <f t="shared" si="6"/>
        <v>0</v>
      </c>
      <c r="AK14" s="1167">
        <f>SUBTOTAL(9,AK9:AK13)</f>
        <v>0</v>
      </c>
      <c r="AL14" s="1171">
        <f>IF(ISNUMBER(NºAsuntos!G14/NºAsuntos!E14),NºAsuntos!G14/NºAsuntos!E14," - ")</f>
        <v>0.84272658035034276</v>
      </c>
      <c r="AM14" s="1171">
        <f>IF(ISNUMBER(((NºAsuntos!I14/NºAsuntos!G14)*11)/factor_trimestre),((NºAsuntos!I14/NºAsuntos!G14)*11)/factor_trimestre," - ")</f>
        <v>8.8079530049706278</v>
      </c>
      <c r="AN14" s="1172">
        <f>IF(ISNUMBER('Resol  Asuntos'!D14/NºAsuntos!G14),'Resol  Asuntos'!D14/NºAsuntos!G14," - ")</f>
        <v>0.30185268865793041</v>
      </c>
      <c r="AO14" s="1173">
        <f>IF(ISNUMBER((NºAsuntos!C14+NºAsuntos!E14)/NºAsuntos!G14),(NºAsuntos!C14+NºAsuntos!E14)/NºAsuntos!G14," - ")</f>
        <v>1.8007230004518753</v>
      </c>
      <c r="AP14" s="1174" t="str">
        <f t="shared" si="2"/>
        <v xml:space="preserve"> - </v>
      </c>
      <c r="AQ14" s="1174">
        <f>IF(ISNUMBER((H14-W14+K14)/(F14)),(H14-W14+K14)/(F14)," - ")</f>
        <v>-1.1944444444444444</v>
      </c>
      <c r="AR14" s="1175">
        <f>IF(ISNUMBER((Datos!P14-Datos!Q14)/(Datos!R14-Datos!P14+Datos!Q14)),(Datos!P14-Datos!Q14)/(Datos!R14-Datos!P14+Datos!Q14)," - ")</f>
        <v>4.567307692307692E-2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457</v>
      </c>
      <c r="G17" s="373">
        <f>IF(ISNUMBER(IF(D_I="SI",Datos!I17,Datos!I17+Datos!AC17)),IF(D_I="SI",Datos!I17,Datos!I17+Datos!AC17)," - ")</f>
        <v>455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2747</v>
      </c>
      <c r="X17" s="240">
        <f>IF(ISNUMBER(Datos!Q17),Datos!Q17," - ")</f>
        <v>73</v>
      </c>
      <c r="Y17" s="374">
        <f t="shared" ref="Y17:Y22" si="9">SUM(W17:X17)</f>
        <v>2820</v>
      </c>
      <c r="Z17" s="375" t="str">
        <f>IF(ISNUMBER(Datos!CC17),Datos!CC17," - ")</f>
        <v xml:space="preserve"> - </v>
      </c>
      <c r="AA17" s="372">
        <f>IF(ISNUMBER(IF(D_I="SI",Datos!L17,Datos!L17+Datos!AF17)),IF(D_I="SI",Datos!L17,Datos!L17+Datos!AF17)," - ")</f>
        <v>529</v>
      </c>
      <c r="AB17" s="374">
        <f>IF(ISNUMBER(Datos!R17),Datos!R17," - ")</f>
        <v>127</v>
      </c>
      <c r="AC17" s="374">
        <f t="shared" si="8"/>
        <v>656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347</v>
      </c>
      <c r="AJ17" s="245" t="str">
        <f>IF(ISNUMBER(Datos!BW17),Datos!BW17," - ")</f>
        <v xml:space="preserve"> - </v>
      </c>
      <c r="AK17" s="246" t="str">
        <f>IF(ISNUMBER(Datos!BX17),Datos!BX17," - ")</f>
        <v xml:space="preserve"> - </v>
      </c>
      <c r="AL17" s="266">
        <f>IF(ISNUMBER(NºAsuntos!G17/NºAsuntos!E17),NºAsuntos!G17/NºAsuntos!E17," - ")</f>
        <v>0.97445902802412199</v>
      </c>
      <c r="AM17" s="284">
        <f>IF(ISNUMBER(((NºAsuntos!I17/NºAsuntos!G17)*11)/factor_trimestre),((NºAsuntos!I17/NºAsuntos!G17)*11)/factor_trimestre," - ")</f>
        <v>2.1183108846013834</v>
      </c>
      <c r="AN17" s="267">
        <f>IF(ISNUMBER('Resol  Asuntos'!D17/NºAsuntos!G17),'Resol  Asuntos'!D17/NºAsuntos!G17," - ")</f>
        <v>0.12631962140516928</v>
      </c>
      <c r="AO17" s="268">
        <f>IF(ISNUMBER((NºAsuntos!C17+NºAsuntos!E17)/NºAsuntos!G17),(NºAsuntos!C17+NºAsuntos!E17)/NºAsuntos!G17," - ")</f>
        <v>1.1918456497997816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199</v>
      </c>
      <c r="X18" s="240">
        <f>IF(ISNUMBER(Datos!Q18),Datos!Q18," - ")</f>
        <v>0</v>
      </c>
      <c r="Y18" s="374">
        <f t="shared" si="9"/>
        <v>199</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0.8883928571428571</v>
      </c>
      <c r="AM18" s="284">
        <f>IF(ISNUMBER(((NºAsuntos!I18/NºAsuntos!G18)*11)/factor_trimestre),((NºAsuntos!I18/NºAsuntos!G18)*11)/factor_trimestre," - ")</f>
        <v>2.1557788944723617</v>
      </c>
      <c r="AN18" s="267">
        <f>IF(ISNUMBER('Resol  Asuntos'!D18/NºAsuntos!G18),'Resol  Asuntos'!D18/NºAsuntos!G18," - ")</f>
        <v>0.22110552763819097</v>
      </c>
      <c r="AO18" s="268">
        <f>IF(ISNUMBER((NºAsuntos!C18+NºAsuntos!E18)/NºAsuntos!G18),(NºAsuntos!C18+NºAsuntos!E18)/NºAsuntos!G18," - ")</f>
        <v>1.1959798994974875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457</v>
      </c>
      <c r="G23" s="1163">
        <f>SUBTOTAL(9,G16:G22)</f>
        <v>469</v>
      </c>
      <c r="H23" s="1162">
        <f t="shared" ref="H23:O23" si="13">SUBTOTAL(9,H15:H22)</f>
        <v>0</v>
      </c>
      <c r="I23" s="1164">
        <f t="shared" si="13"/>
        <v>0</v>
      </c>
      <c r="J23" s="1164">
        <f t="shared" si="13"/>
        <v>0</v>
      </c>
      <c r="K23" s="1164">
        <f t="shared" si="13"/>
        <v>0</v>
      </c>
      <c r="L23" s="1164">
        <f t="shared" si="13"/>
        <v>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2946</v>
      </c>
      <c r="X23" s="1164">
        <f t="shared" si="14"/>
        <v>73</v>
      </c>
      <c r="Y23" s="1165">
        <f t="shared" si="14"/>
        <v>3019</v>
      </c>
      <c r="Z23" s="1165">
        <f t="shared" si="14"/>
        <v>0</v>
      </c>
      <c r="AA23" s="1165">
        <f t="shared" si="14"/>
        <v>568</v>
      </c>
      <c r="AB23" s="1165">
        <f t="shared" si="14"/>
        <v>127</v>
      </c>
      <c r="AC23" s="1165">
        <f t="shared" si="14"/>
        <v>695</v>
      </c>
      <c r="AD23" s="1165">
        <f t="shared" si="14"/>
        <v>0</v>
      </c>
      <c r="AE23" s="1169">
        <f t="shared" si="14"/>
        <v>0</v>
      </c>
      <c r="AF23" s="1162">
        <f t="shared" si="14"/>
        <v>0</v>
      </c>
      <c r="AG23" s="1170">
        <f t="shared" si="14"/>
        <v>0</v>
      </c>
      <c r="AH23" s="1167">
        <f t="shared" si="14"/>
        <v>0</v>
      </c>
      <c r="AI23" s="1162">
        <f t="shared" si="14"/>
        <v>391</v>
      </c>
      <c r="AJ23" s="1164">
        <f t="shared" si="14"/>
        <v>0</v>
      </c>
      <c r="AK23" s="1167">
        <f t="shared" si="14"/>
        <v>0</v>
      </c>
      <c r="AL23" s="1171">
        <f>IF(ISNUMBER(NºAsuntos!G23/NºAsuntos!E23),NºAsuntos!G23/NºAsuntos!E23," - ")</f>
        <v>0.96812356227407159</v>
      </c>
      <c r="AM23" s="1171">
        <f>IF(ISNUMBER(((NºAsuntos!I23/NºAsuntos!G23)*11)/factor_trimestre),((NºAsuntos!I23/NºAsuntos!G23)*11)/factor_trimestre," - ")</f>
        <v>2.1208418194161576</v>
      </c>
      <c r="AN23" s="1172">
        <f>IF(ISNUMBER('Resol  Asuntos'!D23/NºAsuntos!G23),'Resol  Asuntos'!D23/NºAsuntos!G23," - ")</f>
        <v>0.1327223353699932</v>
      </c>
      <c r="AO23" s="1173">
        <f>IF(ISNUMBER((NºAsuntos!C23+NºAsuntos!E23)/NºAsuntos!G23),(NºAsuntos!C23+NºAsuntos!E23)/NºAsuntos!G23," - ")</f>
        <v>1.1921249151391717</v>
      </c>
      <c r="AP23" s="1174" t="str">
        <f t="shared" si="2"/>
        <v xml:space="preserve"> - </v>
      </c>
      <c r="AQ23" s="1174">
        <f>IF(ISNUMBER((H23-W23+K23)/(F23)),(H23-W23+K23)/(F23)," - ")</f>
        <v>-6.4463894967177247</v>
      </c>
      <c r="AR23" s="1175">
        <f>IF(ISNUMBER((Datos!P23-Datos!Q23)/(Datos!R23-Datos!P23+Datos!Q23)),(Datos!P23-Datos!Q23)/(Datos!R23-Datos!P23+Datos!Q23)," - ")</f>
        <v>0.23300970873786409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493</v>
      </c>
      <c r="G31" s="1118">
        <f t="shared" si="20"/>
        <v>505</v>
      </c>
      <c r="H31" s="1117">
        <f t="shared" si="20"/>
        <v>0</v>
      </c>
      <c r="I31" s="1119">
        <f t="shared" si="20"/>
        <v>0</v>
      </c>
      <c r="J31" s="1119">
        <f t="shared" si="20"/>
        <v>0</v>
      </c>
      <c r="K31" s="1180">
        <f t="shared" si="20"/>
        <v>0</v>
      </c>
      <c r="L31" s="1119">
        <f t="shared" si="20"/>
        <v>738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2989</v>
      </c>
      <c r="X31" s="1118">
        <f t="shared" si="21"/>
        <v>638</v>
      </c>
      <c r="Y31" s="1125">
        <f t="shared" si="21"/>
        <v>3627</v>
      </c>
      <c r="Z31" s="1125">
        <f t="shared" si="21"/>
        <v>0</v>
      </c>
      <c r="AA31" s="1125">
        <f t="shared" si="21"/>
        <v>614</v>
      </c>
      <c r="AB31" s="1125">
        <f t="shared" si="21"/>
        <v>1867</v>
      </c>
      <c r="AC31" s="1125">
        <f t="shared" si="21"/>
        <v>775</v>
      </c>
      <c r="AD31" s="1125">
        <f t="shared" si="21"/>
        <v>0</v>
      </c>
      <c r="AE31" s="1127">
        <f t="shared" si="21"/>
        <v>0</v>
      </c>
      <c r="AF31" s="1128">
        <f t="shared" si="21"/>
        <v>0</v>
      </c>
      <c r="AG31" s="1129">
        <f t="shared" si="21"/>
        <v>0</v>
      </c>
      <c r="AH31" s="1127">
        <f t="shared" si="21"/>
        <v>0</v>
      </c>
      <c r="AI31" s="1117">
        <f t="shared" si="21"/>
        <v>1059</v>
      </c>
      <c r="AJ31" s="1117">
        <f t="shared" si="21"/>
        <v>0</v>
      </c>
      <c r="AK31" s="1127">
        <f t="shared" si="21"/>
        <v>0</v>
      </c>
      <c r="AL31" s="1183">
        <f>IF(ISNUMBER(NºAsuntos!G31/NºAsuntos!E31),NºAsuntos!G31/NºAsuntos!E31," - ")</f>
        <v>0.91003704357029458</v>
      </c>
      <c r="AM31" s="1184">
        <f>IF(ISNUMBER(((NºAsuntos!I31/NºAsuntos!G31)*11)/factor_trimestre),((NºAsuntos!I31/NºAsuntos!G31)*11)/factor_trimestre," - ")</f>
        <v>4.9893390191897655</v>
      </c>
      <c r="AN31" s="1184">
        <f>IF(ISNUMBER('Resol  Asuntos'!D31/NºAsuntos!G31),'Resol  Asuntos'!D31/NºAsuntos!G31," - ")</f>
        <v>0.20527233960069782</v>
      </c>
      <c r="AO31" s="1185">
        <f>IF(ISNUMBER((NºAsuntos!C31+NºAsuntos!E31)/NºAsuntos!G31),(NºAsuntos!C31+NºAsuntos!E31)/NºAsuntos!G31," - ")</f>
        <v>1.4531886024423337</v>
      </c>
      <c r="AP31" s="1186" t="str">
        <f t="shared" si="2"/>
        <v xml:space="preserve"> - </v>
      </c>
      <c r="AQ31" s="1187">
        <f>IF(OR(ISNUMBER(FIND("01",Criterios!A8,1)),ISNUMBER(FIND("02",Criterios!A8,1)),ISNUMBER(FIND("03",Criterios!A8,1)),ISNUMBER(FIND("04",Criterios!A8,1))),(I31-W31+K31)/(F31-K31),(H31-W31+K31)/(F31-K31))</f>
        <v>-6.0628803245436105</v>
      </c>
      <c r="AR31" s="1188">
        <f>IF(ISNUMBER((Datos!P31-Datos!Q31)/(Datos!R31-Datos!P31+Datos!Q31)),(Datos!P31-Datos!Q31)/(Datos!R31-Datos!P31+Datos!Q31)," - ")</f>
        <v>5.6593095642331635E-2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227.26959028138074</v>
      </c>
      <c r="G33" s="277">
        <f>IF(ISNUMBER(STDEV(G8:G30)),STDEV(G8:G30),"-")</f>
        <v>217.57965153456968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1364.0021994117164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285.01967350643412</v>
      </c>
      <c r="AJ33" s="276">
        <f t="shared" si="25"/>
        <v>0</v>
      </c>
      <c r="AK33" s="278">
        <f t="shared" si="25"/>
        <v>0</v>
      </c>
      <c r="AL33" s="273">
        <f t="shared" si="25"/>
        <v>6.9015927359494356E-2</v>
      </c>
      <c r="AM33" s="274">
        <f t="shared" si="25"/>
        <v>4.3263610130973023</v>
      </c>
      <c r="AN33" s="274">
        <f t="shared" si="25"/>
        <v>0.21092172493981748</v>
      </c>
      <c r="AO33" s="275">
        <f t="shared" si="25"/>
        <v>0.39355498582147608</v>
      </c>
      <c r="AP33" s="317" t="str">
        <f t="shared" si="25"/>
        <v>-</v>
      </c>
      <c r="AQ33" s="318">
        <f t="shared" si="25"/>
        <v>3.7136859608815733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ox2YMUqycUjvjAUmz260TZPbqj2QIoDo0z7c04RDeo+Jxu69oCYMztwTMcqpdC1TbYI9AH+LntPi89rh0cBKQ==" saltValue="m8+cKy0t/ESsQGx6uKPo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ANDUJAR</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-0.4098360655737705</v>
      </c>
      <c r="E10" s="393">
        <f>IF(ISNUMBER((Datos!J10-Datos!T10)/Datos!T10),(Datos!J10-Datos!T10)/Datos!T10," - ")</f>
        <v>0.15217391304347827</v>
      </c>
      <c r="F10" s="393">
        <f>IF(ISNUMBER((Datos!K10-Datos!U10)/Datos!U10),(Datos!K10-Datos!U10)/Datos!U10," - ")</f>
        <v>-0.39436619718309857</v>
      </c>
      <c r="G10" s="394">
        <f>IF(ISNUMBER((Datos!L10-Datos!V10)/Datos!V10),(Datos!L10-Datos!V10)/Datos!V10," - ")</f>
        <v>0.27777777777777779</v>
      </c>
      <c r="H10" s="244">
        <f>IF(ISNUMBER((Datos!M10-Datos!W10)/Datos!W10),(Datos!M10-Datos!W10)/Datos!W10," - ")</f>
        <v>-0.1891891891891892</v>
      </c>
      <c r="I10" s="395">
        <f>IF(ISNUMBER((Tasas!C10-Datos!BE10)/Datos!BE10),(Tasas!C10-Datos!BE10)/Datos!BE10," - ")</f>
        <v>1.1098191214470283</v>
      </c>
      <c r="J10" s="394">
        <f>IF(ISNUMBER((Tasas!D10-Datos!BF10)/Datos!BF10),(Tasas!D10-Datos!BF10)/Datos!BF10," - ")</f>
        <v>0.33878064110622264</v>
      </c>
      <c r="K10" s="396">
        <f>IF(ISNUMBER((Tasas!E10-Datos!BG10)/Datos!BG10),(Tasas!E10-Datos!BG10)/Datos!BG10," - ")</f>
        <v>0.37339708758965451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0.23166023166023167</v>
      </c>
      <c r="I12" s="395">
        <f>IF(ISNUMBER((Tasas!C12-Datos!BE12)/Datos!BE12),(Tasas!C12-Datos!BE12)/Datos!BE12," - ")</f>
        <v>0.33707570073600346</v>
      </c>
      <c r="J12" s="394">
        <f>IF(ISNUMBER((Tasas!D12-Datos!BF12)/Datos!BF12),(Tasas!D12-Datos!BF12)/Datos!BF12," - ")</f>
        <v>-0.21124668552973164</v>
      </c>
      <c r="K12" s="396">
        <f>IF(ISNUMBER((Tasas!E12-Datos!BG12)/Datos!BG12),(Tasas!E12-Datos!BG12)/Datos!BG12," - ")</f>
        <v>0.12572629040702921</v>
      </c>
      <c r="M12" t="e">
        <f>IF(Monitorios="SI",Datos!CE12,0)</f>
        <v>#REF!</v>
      </c>
      <c r="N12" t="e">
        <f>IF(Monitorios="SI",Datos!CF12,0)</f>
        <v>#REF!</v>
      </c>
      <c r="O12" t="e">
        <f>IF(Monitorios="SI",Datos!CG12,0)</f>
        <v>#REF!</v>
      </c>
      <c r="P12" t="e">
        <f>IF(Monitorios="SI",Datos!CH12,0)</f>
        <v>#REF!</v>
      </c>
      <c r="Q12">
        <f>IF(J_V="SI",0,Datos!AG12)</f>
        <v>110</v>
      </c>
      <c r="R12">
        <f>IF(J_V="SI",0,Datos!AH12)</f>
        <v>315</v>
      </c>
      <c r="S12">
        <f>IF(J_V="SI",0,Datos!AI12)</f>
        <v>268</v>
      </c>
      <c r="T12">
        <f>IF(J_V="SI",0,Datos!AJ12)</f>
        <v>157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0.20360360360360361</v>
      </c>
      <c r="I14" s="402">
        <f>IF(ISNUMBER((Tasas!C14-Datos!BE14)/Datos!BE14),(Tasas!C14-Datos!BE14)/Datos!BE14," - ")</f>
        <v>0.35221433851144501</v>
      </c>
      <c r="J14" s="400">
        <f>IF(ISNUMBER((Tasas!D14-Datos!BF14)/Datos!BF14),(Tasas!D14-Datos!BF14)/Datos!BF14," - ")</f>
        <v>-0.20005551908781716</v>
      </c>
      <c r="K14" s="403">
        <f>IF(ISNUMBER((Tasas!E14-Datos!BG14)/Datos!BG14),(Tasas!E14-Datos!BG14)/Datos!BG14," - ")</f>
        <v>0.1309959731902173</v>
      </c>
      <c r="M14" t="e">
        <f>IF(Monitorios="SI",Datos!CE14,0)</f>
        <v>#REF!</v>
      </c>
      <c r="N14" t="e">
        <f>IF(Monitorios="SI",Datos!CF14,0)</f>
        <v>#REF!</v>
      </c>
      <c r="O14" t="e">
        <f>IF(Monitorios="SI",Datos!CG14,0)</f>
        <v>#REF!</v>
      </c>
      <c r="P14" t="e">
        <f>IF(Monitorios="SI",Datos!CH14,0)</f>
        <v>#REF!</v>
      </c>
      <c r="Q14">
        <f>IF(J_V="SI",0,Datos!AG14)</f>
        <v>110</v>
      </c>
      <c r="R14">
        <f>IF(J_V="SI",0,Datos!AH14)</f>
        <v>315</v>
      </c>
      <c r="S14">
        <f>IF(J_V="SI",0,Datos!AI14)</f>
        <v>268</v>
      </c>
      <c r="T14">
        <f>IF(J_V="SI",0,Datos!AJ14)</f>
        <v>157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-0.16819012797074953</v>
      </c>
      <c r="E17" s="393">
        <f>IF(ISNUMBER(
   IF(D_I="SI",(Datos!J17-Datos!T17)/Datos!T17,(Datos!J17+Datos!AD17-(Datos!T17+Datos!AL17))/(Datos!T17+Datos!AL17))
     ),IF(D_I="SI",(Datos!J17-Datos!T17)/Datos!T17,(Datos!J17+Datos!AD17-(Datos!T17+Datos!AL17))/(Datos!T17+Datos!AL17))," - ")</f>
        <v>0.10592389172224402</v>
      </c>
      <c r="F17" s="393">
        <f>IF(ISNUMBER(
   IF(D_I="SI",(Datos!K17-Datos!U17)/Datos!U17,(Datos!K17+Datos!AE17-(Datos!U17+Datos!AM17))/(Datos!U17+Datos!AM17))
     ),IF(D_I="SI",(Datos!K17-Datos!U17)/Datos!U17,(Datos!K17+Datos!AE17-(Datos!U17+Datos!AM17))/(Datos!U17+Datos!AM17))," - ")</f>
        <v>2.5765496639283045E-2</v>
      </c>
      <c r="G17" s="394">
        <f>IF(ISNUMBER(
   IF(D_I="SI",(Datos!L17-Datos!V17)/Datos!V17,(Datos!L17+Datos!AF17-(Datos!V17+Datos!AN17))/(Datos!V17+Datos!AN17))
     ),IF(D_I="SI",(Datos!L17-Datos!V17)/Datos!V17,(Datos!L17+Datos!AF17-(Datos!V17+Datos!AN17))/(Datos!V17+Datos!AN17))," - ")</f>
        <v>0.16263736263736264</v>
      </c>
      <c r="H17" s="244">
        <f>IF(ISNUMBER((Datos!M17-Datos!W17)/Datos!W17),(Datos!M17-Datos!W17)/Datos!W17," - ")</f>
        <v>0.28518518518518521</v>
      </c>
      <c r="I17" s="395">
        <f>IF(ISNUMBER((Tasas!C17-Datos!BE17)/Datos!BE17),(Tasas!C17-Datos!BE17)/Datos!BE17," - ")</f>
        <v>0.13343387591658423</v>
      </c>
      <c r="J17" s="394">
        <f>IF(ISNUMBER((Tasas!D17-Datos!BF17)/Datos!BF17),(Tasas!D17-Datos!BF17)/Datos!BF17," - ")</f>
        <v>0.25290350415941976</v>
      </c>
      <c r="K17" s="396">
        <f>IF(ISNUMBER((Tasas!E17-Datos!BG17)/Datos!BG17),(Tasas!E17-Datos!BG17)/Datos!BG17," - ")</f>
        <v>3.0931088554203883E-2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0.75</v>
      </c>
      <c r="F18" s="393">
        <f>IF(ISNUMBER(
   IF(D_I="SI",(Datos!K18-Datos!U18)/Datos!U18,(Datos!K18+Datos!AE18-(Datos!U18+Datos!AM18))/(Datos!U18+Datos!AM18))
     ),IF(D_I="SI",(Datos!K18-Datos!U18)/Datos!U18,(Datos!K18+Datos!AE18-(Datos!U18+Datos!AM18))/(Datos!U18+Datos!AM18))," - ")</f>
        <v>0.38194444444444442</v>
      </c>
      <c r="G18" s="394">
        <f>IF(ISNUMBER(
   IF(D_I="SI",(Datos!L18-Datos!V18)/Datos!V18,(Datos!L18+Datos!AF18-(Datos!V18+Datos!AN18))/(Datos!V18+Datos!AN18))
     ),IF(D_I="SI",(Datos!L18-Datos!V18)/Datos!V18,(Datos!L18+Datos!AF18-(Datos!V18+Datos!AN18))/(Datos!V18+Datos!AN18))," - ")</f>
        <v>1.7857142857142858</v>
      </c>
      <c r="H18" s="244">
        <f>IF(ISNUMBER((Datos!M18-Datos!W18)/Datos!W18),(Datos!M18-Datos!W18)/Datos!W18," - ")</f>
        <v>0.375</v>
      </c>
      <c r="I18" s="395">
        <f>IF(ISNUMBER((Tasas!C18-Datos!BE18)/Datos!BE18),(Tasas!C18-Datos!BE18)/Datos!BE18," - ")</f>
        <v>1.0157932519741564</v>
      </c>
      <c r="J18" s="394">
        <f>IF(ISNUMBER((Tasas!D18-Datos!BF18)/Datos!BF18),(Tasas!D18-Datos!BF18)/Datos!BF18," - ")</f>
        <v>-5.0251256281405865E-3</v>
      </c>
      <c r="K18" s="396">
        <f>IF(ISNUMBER((Tasas!E18-Datos!BG18)/Datos!BG18),(Tasas!E18-Datos!BG18)/Datos!BG18," - ")</f>
        <v>9.0006997010368267E-2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-0.18717504332755633</v>
      </c>
      <c r="E23" s="399">
        <f>IF(ISNUMBER(
   IF(D_I="SI",(Datos!J23-Datos!T23)/Datos!T23,(Datos!J23+Datos!AD23-(Datos!T23+Datos!AL23))/(Datos!T23+Datos!AL23))
     ),IF(D_I="SI",(Datos!J23-Datos!T23)/Datos!T23,(Datos!J23+Datos!AD23-(Datos!T23+Datos!AL23))/(Datos!T23+Datos!AL23))," - ")</f>
        <v>0.13672020918939112</v>
      </c>
      <c r="F23" s="399">
        <f>IF(ISNUMBER(
   IF(D_I="SI",(Datos!K23-Datos!U23)/Datos!U23,(Datos!K23+Datos!AE23-(Datos!U23+Datos!AM23))/(Datos!U23+Datos!AM23))
     ),IF(D_I="SI",(Datos!K23-Datos!U23)/Datos!U23,(Datos!K23+Datos!AE23-(Datos!U23+Datos!AM23))/(Datos!U23+Datos!AM23))," - ")</f>
        <v>4.3940467753366408E-2</v>
      </c>
      <c r="G23" s="400">
        <f>IF(ISNUMBER(
   IF(D_I="SI",(Datos!L23-Datos!V23)/Datos!V23,(Datos!L23+Datos!AF23-(Datos!V23+Datos!AN23))/(Datos!V23+Datos!AN23))
     ),IF(D_I="SI",(Datos!L23-Datos!V23)/Datos!V23,(Datos!L23+Datos!AF23-(Datos!V23+Datos!AN23))/(Datos!V23+Datos!AN23))," - ")</f>
        <v>0.21108742004264391</v>
      </c>
      <c r="H23" s="401">
        <f>IF(ISNUMBER((Datos!M23-Datos!W23)/Datos!W23),(Datos!M23-Datos!W23)/Datos!W23," - ")</f>
        <v>0.29470198675496689</v>
      </c>
      <c r="I23" s="402">
        <f>IF(ISNUMBER((Tasas!C23-Datos!BE23)/Datos!BE23),(Tasas!C23-Datos!BE23)/Datos!BE23," - ")</f>
        <v>0.1601115747998442</v>
      </c>
      <c r="J23" s="400">
        <f>IF(ISNUMBER((Tasas!D23-Datos!BF23)/Datos!BF23),(Tasas!D23-Datos!BF23)/Datos!BF23," - ")</f>
        <v>0.24020672322556558</v>
      </c>
      <c r="K23" s="403">
        <f>IF(ISNUMBER((Tasas!E23-Datos!BG23)/Datos!BG23),(Tasas!E23-Datos!BG23)/Datos!BG23," - ")</f>
        <v>3.3858792416331482E-2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-0.10479921645445642</v>
      </c>
      <c r="E31" s="409">
        <f>IF(ISNUMBER(
   IF(J_V="SI",(Datos!J31-Datos!T31)/Datos!T31,(Datos!J31+Datos!Z31-(Datos!T31+Datos!AH31))/(Datos!T31+Datos!AH31))
     ),IF(J_V="SI",(Datos!J31-Datos!T31)/Datos!T31,(Datos!J31+Datos!Z31-(Datos!T31+Datos!AH31))/(Datos!T31+Datos!AH31))," - ")</f>
        <v>0.16502260583641595</v>
      </c>
      <c r="F31" s="409">
        <f>IF(ISNUMBER(
   IF(J_V="SI",(Datos!K31-Datos!U31)/Datos!U31,(Datos!K31+Datos!AA31-(Datos!U31+Datos!AI31))/(Datos!U31+Datos!AI31))
     ),IF(J_V="SI",(Datos!K31-Datos!U31)/Datos!U31,(Datos!K31+Datos!AA31-(Datos!U31+Datos!AI31))/(Datos!U31+Datos!AI31))," - ")</f>
        <v>8.2079343365253077E-3</v>
      </c>
      <c r="G31" s="410">
        <f>IF(ISNUMBER(
   IF(J_V="SI",(Datos!L31-Datos!V31)/Datos!V31,(Datos!L31+Datos!AB31-(Datos!V31+Datos!AJ31))/(Datos!V31+Datos!AJ31))
     ),IF(J_V="SI",(Datos!L31-Datos!V31)/Datos!V31,(Datos!L31+Datos!AB31-(Datos!V31+Datos!AJ31))/(Datos!V31+Datos!AJ31))," - ")</f>
        <v>0.28008752735229758</v>
      </c>
      <c r="H31" s="411">
        <f>IF(ISNUMBER((Datos!M31-Datos!W31)/Datos!W31),(Datos!M31-Datos!W31)/Datos!W31," - ")</f>
        <v>0.23570595099183198</v>
      </c>
      <c r="I31" s="408">
        <f>IF(ISNUMBER((Tasas!C31-Datos!BE31)/Datos!BE31),(Tasas!C31-Datos!BE31)/Datos!BE31," - ")</f>
        <v>0.26966619063029801</v>
      </c>
      <c r="J31" s="409">
        <f>IF(ISNUMBER((Tasas!D31-Datos!BF31)/Datos!BF31),(Tasas!D31-Datos!BF31)/Datos!BF31," - ")</f>
        <v>-0.10070328618427166</v>
      </c>
      <c r="K31" s="410">
        <f>IF(ISNUMBER((Tasas!E31-Datos!BG31)/Datos!BG31),(Tasas!E31-Datos!BG31)/Datos!BG31," - ")</f>
        <v>7.6428210581560713E-2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0.17718582860590656</v>
      </c>
      <c r="E33" s="303">
        <f t="shared" si="1"/>
        <v>0.30979407944649728</v>
      </c>
      <c r="F33" s="303">
        <f t="shared" si="1"/>
        <v>0.31789962326698995</v>
      </c>
      <c r="G33" s="304">
        <f t="shared" si="1"/>
        <v>0.78569254500746155</v>
      </c>
      <c r="H33" s="310">
        <f t="shared" si="1"/>
        <v>0.19966642637033724</v>
      </c>
      <c r="I33" s="302">
        <f t="shared" si="1"/>
        <v>0.43225956949389188</v>
      </c>
      <c r="J33" s="303">
        <f t="shared" si="1"/>
        <v>0.24179421999697862</v>
      </c>
      <c r="K33" s="304">
        <f t="shared" si="1"/>
        <v>0.12642356733143648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q3nNIfwBd5tyCyiRzgRVdAYsao1yb0ehmXbf5+d1yTydg0qNokdq1UQcLM2kdLsvQ+Qo1v5NS2CkX700ANJ8g==" saltValue="MLCXaIsEpVdGwHjX+AXK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